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80E3BF4-0370-4483-A2AC-C0E95ED967E0}"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49" i="29" l="1"/>
  <c r="H65" i="5"/>
  <c r="M19" i="3"/>
  <c r="H31" i="8" l="1"/>
  <c r="E16" i="7"/>
  <c r="E14" i="7"/>
  <c r="E13" i="7"/>
  <c r="E12" i="7"/>
  <c r="E11" i="7"/>
  <c r="E10" i="7"/>
  <c r="E8" i="7"/>
  <c r="E7" i="7"/>
  <c r="E6" i="7"/>
  <c r="E5" i="7"/>
  <c r="E4" i="7"/>
  <c r="E320" i="29"/>
  <c r="D320" i="29"/>
  <c r="C320" i="29"/>
  <c r="D268" i="29" l="1"/>
  <c r="D267" i="29"/>
  <c r="D266" i="29"/>
  <c r="D264" i="29"/>
  <c r="D259" i="29"/>
  <c r="D249" i="29"/>
  <c r="D246" i="29"/>
  <c r="D241" i="29"/>
  <c r="D236" i="29"/>
  <c r="D234" i="29"/>
  <c r="D223" i="29"/>
  <c r="D219" i="29"/>
  <c r="D217" i="29"/>
  <c r="D215" i="29"/>
  <c r="D216" i="29"/>
  <c r="C182" i="29" l="1"/>
  <c r="E185" i="29"/>
  <c r="F182" i="29"/>
  <c r="E182" i="29"/>
  <c r="D182" i="29"/>
  <c r="C124" i="29" l="1"/>
  <c r="G124" i="29"/>
  <c r="F124" i="29"/>
  <c r="E124" i="29"/>
  <c r="D124" i="29"/>
  <c r="G123" i="29"/>
  <c r="E123" i="29"/>
  <c r="C5" i="29"/>
  <c r="E79" i="29"/>
  <c r="F75" i="29"/>
  <c r="E75" i="29"/>
  <c r="F63" i="29"/>
  <c r="E63" i="29"/>
  <c r="D63" i="29"/>
  <c r="C63" i="29"/>
  <c r="F62" i="29"/>
  <c r="E62" i="29"/>
  <c r="F61" i="29"/>
  <c r="E61" i="29"/>
  <c r="D61" i="29"/>
  <c r="C61" i="29"/>
  <c r="F60" i="29"/>
  <c r="E60" i="29"/>
  <c r="D60" i="29"/>
  <c r="C60" i="29"/>
  <c r="H55" i="29"/>
  <c r="F55" i="29"/>
  <c r="E55" i="29"/>
  <c r="D55" i="29"/>
  <c r="C55" i="29"/>
  <c r="H50" i="29"/>
  <c r="F50" i="29"/>
  <c r="E50" i="29"/>
  <c r="D50" i="29"/>
  <c r="C50" i="29"/>
  <c r="H49" i="29"/>
  <c r="E49" i="29"/>
  <c r="G46" i="29"/>
  <c r="F46" i="29"/>
  <c r="E46" i="29"/>
  <c r="H45" i="29"/>
  <c r="G45" i="29"/>
  <c r="F45" i="29"/>
  <c r="E45" i="29"/>
  <c r="D45" i="29"/>
  <c r="C45" i="29"/>
  <c r="D44" i="29"/>
  <c r="G44" i="29"/>
  <c r="F44" i="29"/>
  <c r="E44" i="29"/>
  <c r="F40" i="29"/>
  <c r="D40" i="29"/>
  <c r="C40" i="29"/>
  <c r="F38" i="29"/>
  <c r="D38" i="29"/>
  <c r="C38" i="29"/>
  <c r="F19" i="29"/>
  <c r="E16" i="29"/>
  <c r="H14" i="29"/>
  <c r="F14" i="29"/>
  <c r="E14" i="29"/>
  <c r="D14" i="29"/>
  <c r="C14" i="29"/>
  <c r="F13" i="29"/>
  <c r="F10" i="29"/>
  <c r="D10" i="29"/>
  <c r="C10" i="29"/>
  <c r="D8" i="29"/>
  <c r="C8" i="29"/>
  <c r="F8" i="29"/>
  <c r="H5" i="29"/>
  <c r="G5" i="29"/>
  <c r="F5" i="29"/>
  <c r="E5" i="29"/>
  <c r="D5" i="29"/>
  <c r="F7" i="29"/>
  <c r="D7" i="29"/>
  <c r="C7" i="29"/>
  <c r="J5" i="5"/>
  <c r="J65" i="5"/>
  <c r="I65" i="5"/>
  <c r="I5" i="5"/>
  <c r="G5" i="5"/>
  <c r="G65" i="5"/>
  <c r="G8" i="5"/>
  <c r="F107" i="5"/>
  <c r="F65" i="5"/>
  <c r="F5" i="5"/>
  <c r="E65" i="5"/>
  <c r="E5" i="5"/>
  <c r="D5" i="5"/>
  <c r="D65" i="5"/>
  <c r="C5" i="5"/>
  <c r="C263" i="5"/>
  <c r="C259" i="5"/>
  <c r="C265" i="5"/>
  <c r="C219" i="5"/>
  <c r="C213" i="5"/>
  <c r="C206" i="5"/>
  <c r="C200" i="5"/>
  <c r="C193" i="5"/>
  <c r="C191" i="5"/>
  <c r="C168" i="5"/>
  <c r="C146" i="5"/>
  <c r="C112" i="5"/>
  <c r="C107" i="5"/>
  <c r="C106" i="5"/>
  <c r="C96" i="5"/>
  <c r="C84" i="5"/>
  <c r="C81" i="5"/>
  <c r="C79" i="5"/>
  <c r="C77" i="5"/>
  <c r="C65"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4" i="37"/>
  <c r="B4270" i="106" s="1"/>
  <c r="D4270" i="106" s="1"/>
  <c r="B5752" i="106"/>
  <c r="D5752" i="106" s="1"/>
  <c r="B7705" i="106" l="1"/>
  <c r="D7705" i="106" s="1"/>
  <c r="E67" i="184"/>
  <c r="N67" i="184" s="1"/>
  <c r="F70" i="34"/>
  <c r="F64" i="34"/>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C352" i="29"/>
  <c r="H76" i="4"/>
  <c r="B3298" i="106" s="1"/>
  <c r="D3298" i="106" s="1"/>
  <c r="B1274" i="106"/>
  <c r="D1274" i="106" s="1"/>
  <c r="E19" i="184"/>
  <c r="H12" i="184"/>
  <c r="J129" i="29"/>
  <c r="B7038" i="106" s="1"/>
  <c r="D7038" i="106" s="1"/>
  <c r="H15" i="184"/>
  <c r="D22" i="37"/>
  <c r="F37" i="34"/>
  <c r="B7829" i="106" s="1"/>
  <c r="D7829" i="106" s="1"/>
  <c r="C129" i="29"/>
  <c r="B1225" i="106" s="1"/>
  <c r="D1225" i="106" s="1"/>
  <c r="D31" i="108"/>
  <c r="E16" i="184"/>
  <c r="H16" i="184" s="1"/>
  <c r="G35" i="108"/>
  <c r="L22" i="37"/>
  <c r="C342" i="29"/>
  <c r="B7216" i="106" s="1"/>
  <c r="D7216" i="106" s="1"/>
  <c r="B7198" i="106"/>
  <c r="D7198" i="106" s="1"/>
  <c r="E65" i="184"/>
  <c r="N65" i="184" s="1"/>
  <c r="B7180" i="106"/>
  <c r="D7180" i="106" s="1"/>
  <c r="E63" i="184"/>
  <c r="N63" i="184" s="1"/>
  <c r="B7162" i="106"/>
  <c r="D7162" i="106" s="1"/>
  <c r="E61" i="184"/>
  <c r="N61" i="184" s="1"/>
  <c r="B7126" i="106"/>
  <c r="D7126" i="106" s="1"/>
  <c r="E57" i="184"/>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K342" i="29"/>
  <c r="F13" i="34" s="1"/>
  <c r="C151" i="29"/>
  <c r="B1226" i="106" s="1"/>
  <c r="D1226" i="106" s="1"/>
  <c r="F41" i="108"/>
  <c r="G43" i="108" s="1"/>
  <c r="B6216" i="106"/>
  <c r="D6216" i="106" s="1"/>
  <c r="L114" i="29"/>
  <c r="E367" i="29"/>
  <c r="B3636" i="106" s="1"/>
  <c r="D3636" i="106" s="1"/>
  <c r="B3635" i="106"/>
  <c r="D3635" i="106" s="1"/>
  <c r="B5527" i="106"/>
  <c r="D5527" i="106" s="1"/>
  <c r="B7220" i="106"/>
  <c r="D7220" i="106" s="1"/>
  <c r="F75" i="34"/>
  <c r="B7886" i="106" s="1"/>
  <c r="D7886" i="106" s="1"/>
  <c r="B7222" i="106"/>
  <c r="D7222" i="106" s="1"/>
  <c r="F76" i="34"/>
  <c r="B7887" i="106" s="1"/>
  <c r="D7887"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2567" i="106"/>
  <c r="D2567" i="106" s="1"/>
  <c r="B6227" i="106" l="1"/>
  <c r="D6227" i="106" s="1"/>
  <c r="B6223" i="106"/>
  <c r="D6223" i="106" s="1"/>
  <c r="J10" i="4"/>
  <c r="B6225" i="106" s="1"/>
  <c r="D6225" i="106" s="1"/>
  <c r="F8" i="4"/>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<sst xmlns="http://schemas.openxmlformats.org/spreadsheetml/2006/main" count="5149" uniqueCount="2087">
  <si>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</si>
  <si>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</si>
  <si>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</si>
  <si>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</si>
  <si>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</si>
  <si>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</si>
  <si>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</si>
  <si>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</si>
  <si>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</si>
  <si>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</si>
  <si>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</si>
  <si>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</si>
  <si>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</si>
  <si>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</si>
  <si>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</si>
  <si>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</si>
  <si>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</si>
  <si>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</si>
  <si>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</si>
  <si>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</si>
  <si>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</si>
  <si>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</si>
  <si>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</si>
  <si>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</si>
  <si>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</si>
  <si>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</si>
  <si>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</si>
  <si>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</si>
  <si>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</si>
  <si>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</si>
  <si>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</si>
  <si>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</si>
  <si>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</si>
  <si>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</si>
  <si>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</si>
  <si>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</si>
  <si>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</si>
  <si>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</si>
  <si>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</si>
  <si>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</si>
  <si>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</si>
  <si>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</si>
  <si>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</si>
  <si>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</si>
  <si>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</si>
  <si>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</si>
  <si>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</si>
  <si>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</si>
  <si>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</si>
  <si>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</si>
  <si>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</si>
  <si>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</si>
  <si>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</si>
  <si>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</si>
  <si>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</si>
  <si>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</si>
  <si>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</si>
  <si>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</si>
  <si>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</si>
  <si>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</si>
  <si>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</si>
  <si>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</si>
  <si>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</si>
  <si>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</si>
  <si>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</si>
  <si>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</si>
  <si>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</si>
  <si>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</si>
  <si>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</si>
  <si>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</si>
  <si>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</si>
  <si>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</si>
  <si>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</si>
  <si>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</si>
  <si>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</si>
  <si>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</si>
  <si>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</si>
  <si>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</si>
  <si>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</si>
  <si>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</si>
  <si>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</si>
  <si>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</si>
  <si>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</si>
  <si>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</si>
  <si>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</si>
  <si>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</si>
  <si>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</si>
  <si>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</si>
  <si>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</si>
  <si>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</si>
  <si>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</si>
  <si>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</si>
  <si>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</si>
  <si>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</si>
  <si>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</si>
  <si>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</si>
  <si>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</si>
  <si>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</si>
  <si>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</si>
  <si>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</si>
  <si>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</si>
  <si>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</si>
  <si>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</si>
  <si>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</si>
  <si>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</si>
  <si>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</si>
  <si>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</si>
  <si>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</si>
  <si>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</si>
  <si>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</si>
  <si>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</si>
  <si>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</si>
  <si>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</si>
  <si>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</si>
  <si>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</si>
  <si>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</si>
  <si>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</si>
  <si>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</si>
  <si>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</si>
  <si>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</si>
  <si>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</si>
  <si>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</si>
  <si>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</si>
  <si>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</si>
  <si>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</si>
  <si>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</si>
  <si>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</si>
  <si>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</si>
  <si>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</si>
  <si>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</si>
  <si>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</si>
  <si>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</si>
  <si>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</si>
  <si>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</si>
  <si>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</si>
  <si>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</si>
  <si>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</si>
  <si>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</si>
  <si>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</si>
  <si>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</si>
  <si>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</si>
  <si>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</si>
  <si>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</si>
  <si>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</si>
  <si>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</si>
  <si>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</si>
  <si>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</si>
  <si>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</si>
  <si>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</si>
  <si>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</si>
  <si>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</si>
  <si>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</si>
  <si>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</si>
  <si>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</si>
  <si>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</si>
  <si>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</si>
  <si>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</si>
  <si>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</si>
  <si>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</si>
  <si>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</si>
  <si>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</si>
  <si>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</si>
  <si>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</si>
  <si>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</si>
  <si>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</si>
  <si>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</si>
  <si>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</si>
  <si>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</si>
  <si>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</si>
  <si>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</si>
  <si>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</si>
  <si>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</si>
  <si>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</si>
  <si>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</si>
  <si>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</si>
  <si>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</si>
  <si>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</si>
  <si>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</si>
  <si>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</si>
  <si>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</si>
  <si>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</si>
  <si>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</si>
  <si>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</si>
  <si>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</si>
  <si>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</si>
  <si>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</si>
  <si>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</si>
  <si>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</si>
  <si>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</si>
  <si>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</si>
  <si>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</si>
  <si>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</si>
  <si>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</si>
  <si>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</si>
  <si>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</si>
  <si>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</si>
  <si>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</si>
  <si>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</si>
  <si>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</si>
  <si>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</si>
  <si>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</si>
  <si>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</si>
  <si>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</si>
  <si>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</si>
  <si>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</si>
  <si>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</si>
  <si>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</si>
  <si>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</si>
  <si>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</si>
  <si>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</si>
  <si>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</si>
  <si>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</si>
  <si>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</si>
  <si>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</si>
  <si>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</si>
  <si>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</si>
  <si>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</si>
  <si>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</si>
  <si>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</si>
  <si>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</si>
  <si>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</si>
  <si>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</si>
  <si>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</si>
  <si>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</si>
  <si>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</si>
  <si>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</si>
  <si>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</si>
  <si>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</si>
  <si>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</si>
  <si>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</si>
  <si>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</si>
  <si>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</si>
  <si>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</si>
  <si>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</si>
  <si>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</si>
  <si>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</si>
  <si>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</si>
  <si>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</si>
  <si>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</si>
  <si>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</si>
  <si>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</si>
  <si>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</si>
  <si>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</si>
  <si>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</si>
  <si>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</si>
  <si>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</si>
  <si>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</si>
  <si>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</si>
  <si>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</si>
  <si>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</si>
  <si>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</si>
  <si>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</si>
  <si>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</si>
  <si>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</si>
  <si>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</si>
  <si>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</si>
  <si>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</si>
  <si>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</si>
  <si>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</si>
  <si>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</si>
  <si>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</si>
  <si>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</si>
  <si>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</si>
  <si>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</si>
  <si>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</si>
  <si>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</si>
  <si>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</si>
  <si>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</si>
  <si>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</si>
  <si>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</si>
  <si>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</si>
  <si>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</si>
  <si>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</si>
  <si>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</si>
  <si>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</si>
  <si>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</si>
  <si>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</si>
  <si>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</si>
  <si>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</si>
  <si>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</si>
  <si>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</si>
  <si>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</si>
  <si>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</si>
  <si>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</si>
  <si>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</si>
  <si>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</si>
  <si>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</si>
  <si>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</si>
  <si>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</si>
  <si>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</si>
  <si>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</si>
  <si>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</si>
  <si>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</si>
  <si>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</si>
  <si>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</si>
  <si>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</si>
  <si>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</si>
  <si>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</si>
  <si>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</si>
  <si>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</si>
  <si>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</si>
  <si>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</si>
  <si>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</si>
  <si>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</si>
  <si>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</si>
  <si>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</si>
  <si>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</si>
  <si>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</si>
  <si>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</si>
  <si>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</si>
  <si>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</si>
  <si>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</si>
  <si>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</si>
  <si>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</si>
  <si>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</si>
  <si>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</si>
  <si>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</si>
  <si>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</si>
  <si>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</si>
  <si>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</si>
  <si>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</si>
  <si>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</si>
  <si>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</si>
  <si>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</si>
  <si>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</si>
  <si>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</si>
  <si>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</si>
  <si>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</si>
  <si>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</si>
  <si>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</si>
  <si>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</si>
  <si>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</si>
  <si>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</si>
  <si>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</si>
  <si>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</si>
  <si>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</si>
  <si>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</si>
  <si>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</si>
  <si>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</si>
  <si>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</si>
  <si>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</si>
  <si>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</si>
  <si>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</si>
  <si>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</si>
  <si>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</si>
  <si>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</si>
  <si>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</si>
  <si>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</si>
  <si>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</si>
  <si>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</si>
  <si>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</si>
  <si>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</si>
  <si>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</si>
  <si>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</si>
  <si>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</si>
  <si>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</si>
  <si>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</si>
  <si>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</si>
  <si>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</si>
  <si>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</si>
  <si>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</si>
  <si>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</si>
  <si>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</si>
  <si>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</si>
  <si>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</si>
  <si>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</si>
  <si>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</si>
  <si>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</si>
  <si>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</si>
  <si>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</si>
  <si>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</si>
  <si>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</si>
  <si>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</si>
  <si>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</si>
  <si>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</si>
  <si>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</si>
  <si>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</si>
  <si>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</si>
  <si>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</si>
  <si>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</si>
  <si>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</si>
  <si>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</si>
  <si>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</si>
  <si>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</si>
  <si>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</si>
  <si>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</si>
  <si>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</si>
  <si>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</si>
  <si>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</si>
  <si>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</si>
  <si>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</si>
  <si>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</si>
  <si>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</si>
  <si>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</si>
  <si>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</si>
  <si>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</si>
  <si>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</si>
  <si>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</si>
  <si>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</si>
  <si>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</si>
  <si>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</si>
  <si>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</si>
  <si>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</si>
  <si>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</si>
  <si>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</si>
  <si>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</si>
  <si>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</si>
  <si>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</si>
  <si>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</si>
  <si>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</si>
  <si>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</si>
  <si>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</si>
  <si>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</si>
  <si>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</si>
  <si>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</si>
  <si>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</si>
  <si>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</si>
  <si>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</si>
  <si>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</si>
  <si>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</si>
  <si>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</si>
  <si>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</si>
  <si>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</si>
  <si>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</si>
  <si>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</si>
  <si>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</si>
  <si>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</si>
  <si>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</si>
  <si>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</si>
  <si>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</si>
  <si>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</si>
  <si>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</si>
  <si>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</si>
  <si>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</si>
  <si>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</si>
  <si>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</si>
  <si>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</si>
  <si>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</si>
  <si>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</si>
  <si>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</si>
  <si>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</si>
  <si>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</si>
  <si>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</si>
  <si>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</si>
  <si>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</si>
  <si>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</si>
  <si>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</si>
  <si>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</si>
  <si>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</si>
  <si>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</si>
  <si>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</si>
  <si>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</si>
  <si>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</si>
  <si>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</si>
  <si>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</si>
  <si>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</si>
  <si>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</si>
  <si>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</si>
  <si>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</si>
  <si>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</si>
  <si>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</si>
  <si>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</si>
  <si>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</si>
  <si>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</si>
  <si>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</si>
  <si>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</si>
  <si>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</si>
  <si>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</si>
  <si>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</si>
  <si>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</si>
  <si>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</si>
  <si>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</si>
  <si>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</si>
  <si>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</si>
  <si>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</si>
  <si>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</si>
  <si>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</si>
  <si>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</si>
  <si>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</si>
  <si>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</si>
  <si>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</si>
  <si>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</si>
  <si>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</si>
  <si>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</si>
  <si>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</si>
  <si>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</si>
  <si>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</si>
  <si>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</si>
  <si>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</si>
  <si>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</si>
  <si>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</si>
  <si>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</si>
  <si>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</si>
  <si>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</si>
  <si>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</si>
  <si>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</si>
  <si>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</si>
  <si>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</si>
  <si>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</si>
  <si>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</si>
  <si>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</si>
  <si>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</si>
  <si>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</si>
  <si>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</si>
  <si>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</si>
  <si>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</si>
  <si>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</si>
  <si>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</si>
  <si>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</si>
  <si>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</si>
  <si>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</si>
  <si>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</si>
  <si>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</si>
  <si>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</si>
  <si>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</si>
  <si>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</si>
  <si>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</si>
  <si>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</si>
  <si>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</si>
  <si>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</si>
  <si>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</si>
  <si>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</si>
  <si>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</si>
  <si>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</si>
  <si>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</si>
  <si>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</si>
  <si>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</si>
  <si>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</si>
  <si>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</si>
  <si>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</si>
  <si>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</si>
  <si>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</si>
  <si>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</si>
  <si>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</si>
  <si>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</si>
  <si>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</si>
  <si>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</si>
  <si>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</si>
  <si>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</si>
  <si>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</si>
  <si>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</si>
  <si>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</si>
  <si>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</si>
  <si>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</si>
  <si>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</si>
  <si>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</si>
  <si>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</si>
  <si>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</si>
  <si>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</si>
  <si>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</si>
  <si>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</si>
  <si>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</si>
  <si>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</si>
  <si>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</si>
  <si>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</si>
  <si>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</si>
  <si>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</si>
  <si>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</si>
  <si>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</si>
  <si>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</si>
  <si>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</si>
  <si>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</si>
  <si>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</si>
  <si>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</si>
  <si>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</si>
  <si>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</si>
  <si>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</si>
  <si>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</si>
  <si>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</si>
  <si>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</si>
  <si>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</si>
  <si>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</si>
  <si>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</si>
  <si>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</si>
  <si>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</si>
  <si>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</si>
  <si>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</si>
  <si>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</si>
  <si>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</si>
  <si>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</si>
  <si>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</si>
  <si>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</si>
  <si>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</si>
  <si>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</si>
  <si>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</si>
  <si>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</si>
  <si>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</si>
  <si>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</si>
  <si>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</si>
  <si>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</si>
  <si>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</si>
  <si>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</si>
  <si>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</si>
  <si>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</si>
  <si>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</si>
  <si>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</si>
  <si>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</si>
  <si>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</si>
  <si>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</si>
  <si>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</si>
  <si>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</si>
  <si>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</si>
  <si>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</si>
  <si>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</si>
  <si>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</si>
  <si>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</si>
  <si>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</si>
  <si>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</si>
  <si>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</si>
  <si>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</si>
  <si>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</si>
  <si>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</si>
  <si>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</si>
  <si>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</si>
  <si>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</si>
  <si>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</si>
  <si>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</si>
  <si>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</si>
  <si>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</si>
  <si>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</si>
  <si>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</si>
  <si>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</si>
  <si>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</si>
  <si>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</si>
  <si>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</si>
  <si>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</si>
  <si>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</si>
  <si>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</si>
  <si>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</si>
  <si>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</si>
  <si>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</si>
  <si>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</si>
  <si>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</si>
  <si>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</si>
  <si>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</si>
  <si>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</si>
  <si>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</si>
  <si>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</si>
  <si>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</si>
  <si>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</si>
  <si>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</si>
  <si>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</si>
  <si>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</si>
  <si>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</si>
  <si>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</si>
  <si>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</si>
  <si>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</si>
  <si>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</si>
  <si>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</si>
  <si>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</si>
  <si>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</si>
  <si>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</si>
  <si>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</si>
  <si>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</si>
  <si>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</si>
  <si>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</si>
  <si>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</si>
  <si>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</si>
  <si>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</si>
  <si>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</si>
  <si>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</si>
  <si>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</si>
  <si>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</si>
  <si>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</si>
  <si>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</si>
  <si>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</si>
  <si>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</si>
  <si>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</si>
  <si>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</si>
  <si>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</si>
  <si>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</si>
  <si>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</si>
  <si>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</si>
  <si>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</si>
  <si>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</si>
  <si>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</si>
  <si>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</si>
  <si>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</si>
  <si>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</si>
  <si>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</si>
  <si>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</si>
  <si>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</si>
  <si>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</si>
  <si>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</si>
  <si>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</si>
  <si>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</si>
  <si>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</si>
  <si>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</si>
  <si>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</si>
  <si>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</si>
  <si>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</si>
  <si>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</si>
  <si>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</si>
  <si>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</si>
  <si>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</si>
  <si>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</si>
  <si>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</si>
  <si>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</si>
  <si>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</si>
  <si>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</si>
  <si>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</si>
  <si>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</si>
  <si>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</si>
  <si>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</si>
  <si>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</si>
  <si>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</si>
  <si>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</si>
  <si>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</si>
  <si>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</si>
  <si>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</si>
  <si>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</si>
  <si>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</si>
  <si>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</si>
  <si>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</si>
  <si>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</si>
  <si>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</si>
  <si>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</si>
  <si>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</si>
  <si>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</si>
  <si>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</si>
  <si>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</si>
  <si>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</si>
  <si>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</si>
  <si>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</si>
  <si>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</si>
  <si>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</si>
  <si>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</si>
  <si>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</si>
  <si>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</si>
  <si>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</si>
  <si>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</si>
  <si>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</si>
  <si>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</si>
  <si>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</si>
  <si>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</si>
  <si>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</si>
  <si>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</si>
  <si>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</si>
  <si>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</si>
  <si>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</si>
  <si>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</si>
  <si>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</si>
  <si>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</si>
  <si>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</si>
  <si>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</si>
  <si>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</si>
  <si>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</si>
  <si>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</si>
  <si>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</si>
  <si>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</si>
  <si>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</si>
  <si>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</si>
  <si>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</si>
  <si>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</si>
  <si>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</si>
  <si>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</si>
  <si>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</si>
  <si>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</si>
  <si>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</si>
  <si>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</si>
  <si>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</si>
  <si>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</si>
  <si>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</si>
  <si>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</si>
  <si>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</si>
  <si>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</si>
  <si>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</si>
  <si>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</si>
  <si>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</si>
  <si>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</si>
  <si>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</si>
  <si>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</si>
  <si>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</si>
  <si>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</si>
  <si>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</si>
  <si>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</si>
  <si>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</si>
  <si>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</si>
  <si>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</si>
  <si>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</si>
  <si>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</si>
  <si>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</si>
  <si>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</si>
  <si>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</si>
  <si>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</si>
  <si>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</si>
  <si>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</si>
  <si>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</si>
  <si>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</si>
  <si>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</si>
  <si>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</si>
  <si>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</si>
  <si>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</si>
  <si>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</si>
  <si>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</si>
  <si>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</si>
  <si>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</si>
  <si>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</si>
  <si>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</si>
  <si>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</si>
  <si>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</si>
  <si>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</si>
  <si>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</si>
  <si>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</si>
  <si>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</si>
  <si>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</si>
  <si>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</si>
  <si>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</si>
  <si>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</si>
  <si>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</si>
  <si>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</si>
  <si>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</si>
  <si>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</si>
  <si>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</si>
  <si>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</si>
  <si>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</si>
  <si>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</si>
  <si>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</si>
  <si>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</si>
  <si>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</si>
  <si>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</si>
  <si>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</si>
  <si>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</si>
  <si>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</si>
  <si>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</si>
  <si>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</si>
  <si>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</si>
  <si>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</si>
  <si>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</si>
  <si>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</si>
  <si>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</si>
  <si>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</si>
  <si>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</si>
  <si>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</si>
  <si>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</si>
  <si>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</si>
  <si>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</si>
  <si>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</si>
  <si>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</si>
  <si>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</si>
  <si>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</si>
  <si>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</si>
  <si>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</si>
  <si>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</si>
  <si>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</si>
  <si>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</si>
  <si>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</si>
  <si>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</si>
  <si>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</si>
  <si>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</si>
  <si>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</si>
  <si>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</si>
  <si>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</si>
  <si>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</si>
  <si>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</si>
  <si>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</si>
  <si>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</si>
  <si>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</si>
  <si>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</si>
  <si>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</si>
  <si>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</si>
  <si>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</si>
  <si>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</si>
  <si>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</si>
  <si>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</si>
  <si>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</si>
  <si>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</si>
  <si>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</si>
  <si>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</si>
  <si>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</si>
  <si>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</si>
  <si>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</si>
  <si>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</si>
  <si>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</si>
  <si>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</si>
  <si>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</si>
  <si>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</si>
  <si>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</si>
  <si>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</si>
  <si>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</si>
  <si>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</si>
  <si>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</si>
  <si>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</si>
  <si>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</si>
  <si>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</si>
  <si>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</si>
  <si>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</si>
  <si>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</si>
  <si>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</si>
  <si>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</si>
  <si>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</si>
  <si>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</si>
  <si>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</si>
  <si>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</si>
  <si>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</si>
  <si>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</si>
  <si>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</si>
  <si>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</si>
  <si>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</si>
  <si>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</si>
  <si>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</si>
  <si>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</si>
  <si>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</si>
  <si>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</si>
  <si>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</si>
  <si>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</si>
  <si>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</si>
  <si>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</si>
  <si>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</si>
  <si>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</si>
  <si>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</si>
  <si>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</si>
  <si>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</si>
  <si>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</si>
  <si>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</si>
  <si>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</si>
  <si>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</si>
  <si>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</si>
  <si>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</si>
  <si>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</si>
  <si>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</si>
  <si>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</si>
  <si>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</si>
  <si>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</si>
  <si>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</si>
  <si>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</si>
  <si>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</si>
  <si>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</si>
  <si>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</si>
  <si>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</si>
  <si>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</si>
  <si>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</si>
  <si>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</si>
  <si>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</si>
  <si>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</si>
  <si>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</si>
  <si>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</si>
  <si>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</si>
  <si>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</si>
  <si>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</si>
  <si>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</si>
  <si>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</si>
  <si>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</si>
  <si>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</si>
  <si>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</si>
  <si>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</si>
  <si>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</si>
  <si>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</si>
  <si>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</si>
  <si>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</si>
  <si>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</si>
  <si>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</si>
  <si>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</si>
  <si>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</si>
  <si>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</si>
  <si>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</si>
  <si>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</si>
  <si>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</si>
  <si>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</si>
  <si>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</si>
  <si>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</si>
  <si>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</si>
  <si>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</si>
  <si>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</si>
  <si>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</si>
  <si>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</si>
  <si>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</si>
  <si>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</si>
  <si>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</si>
  <si>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</si>
  <si>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</si>
  <si>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</si>
  <si>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</si>
  <si>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</si>
  <si>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</si>
  <si>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</si>
  <si>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</si>
  <si>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</si>
  <si>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</si>
  <si>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</si>
  <si>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</si>
  <si>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</si>
  <si>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</si>
  <si>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</si>
  <si>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</si>
  <si>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</si>
  <si>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</si>
  <si>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</si>
  <si>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</si>
  <si>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</si>
  <si>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</si>
  <si>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</si>
  <si>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</si>
  <si>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</si>
  <si>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</si>
  <si>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</si>
  <si>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</si>
  <si>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</si>
  <si>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</si>
  <si>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</si>
  <si>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</si>
  <si>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</si>
  <si>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</si>
  <si>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</si>
  <si>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</si>
  <si>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</si>
  <si>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</si>
  <si>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</si>
  <si>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</si>
  <si>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</si>
  <si>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</si>
  <si>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</si>
  <si>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</si>
  <si>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</si>
  <si>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</si>
  <si>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</si>
  <si>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</si>
  <si>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</si>
  <si>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</si>
  <si>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</si>
  <si>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</si>
  <si>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</si>
  <si>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</si>
  <si>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</si>
  <si>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</si>
  <si>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</si>
  <si>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</si>
  <si>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</si>
  <si>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</si>
  <si>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</si>
  <si>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</si>
  <si>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</si>
  <si>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</si>
  <si>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</si>
  <si>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</si>
  <si>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</si>
  <si>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</si>
  <si>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</si>
  <si>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</si>
  <si>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</si>
  <si>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</si>
  <si>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</si>
  <si>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</si>
  <si>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</si>
  <si>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</si>
  <si>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</si>
  <si>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</si>
  <si>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</si>
  <si>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</si>
  <si>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</si>
  <si>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</si>
  <si>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</si>
  <si>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</si>
  <si>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</si>
  <si>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</si>
  <si>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</si>
  <si>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</si>
  <si>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</si>
  <si>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</si>
  <si>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</si>
  <si>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</si>
  <si>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</si>
  <si>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</si>
  <si>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</si>
  <si>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</si>
  <si>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</si>
  <si>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</si>
  <si>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</si>
  <si>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</si>
  <si>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</si>
  <si>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</si>
  <si>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</si>
  <si>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</si>
  <si>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</si>
  <si>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</si>
  <si>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</si>
  <si>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</si>
  <si>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</si>
  <si>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</si>
  <si>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</si>
  <si>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</si>
  <si>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</si>
  <si>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</si>
  <si>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</si>
  <si>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</si>
  <si>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</si>
  <si>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</si>
  <si>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</si>
  <si>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</si>
  <si>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</si>
  <si>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</si>
  <si>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</si>
  <si>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</si>
  <si>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</si>
  <si>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</si>
  <si>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</si>
  <si>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</si>
  <si>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</si>
  <si>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</si>
  <si>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</si>
  <si>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</si>
  <si>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</si>
  <si>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</si>
  <si>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</si>
  <si>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</si>
  <si>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</si>
  <si>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</si>
  <si>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</si>
  <si>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</si>
  <si>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</si>
  <si>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</si>
  <si>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</si>
  <si>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</si>
  <si>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</si>
  <si>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</si>
  <si>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</si>
  <si>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</si>
  <si>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</si>
  <si>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</si>
  <si>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</si>
  <si>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</si>
  <si>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</si>
  <si>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</si>
  <si>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</si>
  <si>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</si>
  <si>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</si>
  <si>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</si>
  <si>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</si>
  <si>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</si>
  <si>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</si>
  <si>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</si>
  <si>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</si>
  <si>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</si>
  <si>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</si>
  <si>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</si>
  <si>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</si>
  <si>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</si>
  <si>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</si>
  <si>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</si>
  <si>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</si>
  <si>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</si>
  <si>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</si>
  <si>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</si>
  <si>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</si>
  <si>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</si>
  <si>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</si>
  <si>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</si>
  <si>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</si>
  <si>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</si>
  <si>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</si>
  <si>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</si>
  <si>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</si>
  <si>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</si>
  <si>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</si>
  <si>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</si>
  <si>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</si>
  <si>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</si>
  <si>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</si>
  <si>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</si>
  <si>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</si>
  <si>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</si>
  <si>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</si>
  <si>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</si>
  <si>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</si>
  <si>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</si>
  <si>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</si>
  <si>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</si>
  <si>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</si>
  <si>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</si>
  <si>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</si>
  <si>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</si>
  <si>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</si>
  <si>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</si>
  <si>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</si>
  <si>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</si>
  <si>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</si>
  <si>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</si>
  <si>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</si>
  <si>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</si>
  <si>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</si>
  <si>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</si>
  <si>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</si>
  <si>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</si>
  <si>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</si>
  <si>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</si>
  <si>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</si>
  <si>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</si>
  <si>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</si>
  <si>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</si>
  <si>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</si>
  <si>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</si>
  <si>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</si>
  <si>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</si>
  <si>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</si>
  <si>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</si>
  <si>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</si>
  <si>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</si>
  <si>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</si>
  <si>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</si>
  <si>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</si>
  <si>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</si>
  <si>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</si>
  <si>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</si>
  <si>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</si>
  <si>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</si>
  <si>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</si>
  <si>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</si>
  <si>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</si>
  <si>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</si>
  <si>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</si>
  <si>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</si>
  <si>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</si>
  <si>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</si>
  <si>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</si>
  <si>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</si>
  <si>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</si>
  <si>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</si>
  <si>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</si>
  <si>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</si>
  <si>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</si>
  <si>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</si>
  <si>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</si>
  <si>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</si>
  <si>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</si>
  <si>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</si>
  <si>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</si>
  <si>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</si>
  <si>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</si>
  <si>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</si>
  <si>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</si>
  <si>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</si>
  <si>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</si>
  <si>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</si>
  <si>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</si>
  <si>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</si>
  <si>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</si>
  <si>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</si>
  <si>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</si>
  <si>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</si>
  <si>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</si>
  <si>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</si>
  <si>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</si>
  <si>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</si>
  <si>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</si>
  <si>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</si>
  <si>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</si>
  <si>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</si>
  <si>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</si>
  <si>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</si>
  <si>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</si>
  <si>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</si>
  <si>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</si>
  <si>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</si>
  <si>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</si>
  <si>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</si>
  <si>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</si>
  <si>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</si>
  <si>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</si>
  <si>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</si>
  <si>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</si>
  <si>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</si>
  <si>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</si>
  <si>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</si>
  <si>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</si>
  <si>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</si>
  <si>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</si>
  <si>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</si>
  <si>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</si>
  <si>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</si>
  <si>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</si>
  <si>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</si>
  <si>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</si>
  <si>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</si>
  <si>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</si>
  <si>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</si>
  <si>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</si>
  <si>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</si>
  <si>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</si>
  <si>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</si>
  <si>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</si>
  <si>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</si>
  <si>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</si>
  <si>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</si>
  <si>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</si>
  <si>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</si>
  <si>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</si>
  <si>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</si>
  <si>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</si>
  <si>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</si>
  <si>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</si>
  <si>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</si>
  <si>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</si>
  <si>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</si>
  <si>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</si>
  <si>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</si>
  <si>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</si>
  <si>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</si>
  <si>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</si>
  <si>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</si>
  <si>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</si>
  <si>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</si>
  <si>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</si>
  <si>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</si>
  <si>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</si>
  <si>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</si>
  <si>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</si>
  <si>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</si>
  <si>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</si>
  <si>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</si>
  <si>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</si>
  <si>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</si>
  <si>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</si>
  <si>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</si>
  <si>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</si>
  <si>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</si>
  <si>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</si>
  <si>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</si>
  <si>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</si>
  <si>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</si>
  <si>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</si>
  <si>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</si>
  <si>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</si>
  <si>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</si>
  <si>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</si>
  <si>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</si>
  <si>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</si>
  <si>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</si>
  <si>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</si>
  <si>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</si>
  <si>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</si>
  <si>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</si>
  <si>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</si>
  <si>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</si>
  <si>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</si>
  <si>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</si>
  <si>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</si>
  <si>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</si>
  <si>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</si>
  <si>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</si>
  <si>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</si>
  <si>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</si>
  <si>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</si>
  <si>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</si>
  <si>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</si>
  <si>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</si>
  <si>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</si>
  <si>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</si>
  <si>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</si>
  <si>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</si>
  <si>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</si>
  <si>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</si>
  <si>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</si>
  <si>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</si>
  <si>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</si>
  <si>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</si>
  <si>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</si>
  <si>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</si>
  <si>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</si>
  <si>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</si>
  <si>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</si>
  <si>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</si>
  <si>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</si>
  <si>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</si>
  <si>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</si>
  <si>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</si>
  <si>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</si>
  <si>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</si>
  <si>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</si>
  <si>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</si>
  <si>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</si>
  <si>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</si>
  <si>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</si>
  <si>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</si>
  <si>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</si>
  <si>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</si>
  <si>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</si>
  <si>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</si>
  <si>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</si>
  <si>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</si>
  <si>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</si>
  <si>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</si>
  <si>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</si>
  <si>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</si>
  <si>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</si>
  <si>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</si>
  <si>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</si>
  <si>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</si>
  <si>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</si>
  <si>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</si>
  <si>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</si>
  <si>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</si>
  <si>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</si>
  <si>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</si>
  <si>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</si>
  <si>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</si>
  <si>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</si>
  <si>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</si>
  <si>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</si>
  <si>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</si>
  <si>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</si>
  <si>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</si>
  <si>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</si>
  <si>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</si>
  <si>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</si>
  <si>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</si>
  <si>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</si>
  <si>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</si>
  <si>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</si>
  <si>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</si>
  <si>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</si>
  <si>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</si>
  <si>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</si>
  <si>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</si>
  <si>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</si>
  <si>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</si>
  <si>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</si>
  <si>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</si>
  <si>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</si>
  <si>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</si>
  <si>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</si>
  <si>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</si>
  <si>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</si>
  <si>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</si>
  <si>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</si>
  <si>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</si>
  <si>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</si>
  <si>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</si>
  <si>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</si>
  <si>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</si>
  <si>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</si>
  <si>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</si>
  <si>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</si>
  <si>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</si>
  <si>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</si>
  <si>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</si>
  <si>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</si>
  <si>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</si>
  <si>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</si>
  <si>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</si>
  <si>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</si>
  <si>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</si>
  <si>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</si>
  <si>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</si>
  <si>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</si>
  <si>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</si>
  <si>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</si>
  <si>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</si>
  <si>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</si>
  <si>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</si>
  <si>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</si>
  <si>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</si>
  <si>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</si>
  <si>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</si>
  <si>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</si>
  <si>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</si>
  <si>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</si>
  <si>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</si>
  <si>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</si>
  <si>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</si>
  <si>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</si>
  <si>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</si>
  <si>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</si>
  <si>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</si>
  <si>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</si>
  <si>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</si>
  <si>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</si>
  <si>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</si>
  <si>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</si>
  <si>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</si>
  <si>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</si>
  <si>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</si>
  <si>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</si>
  <si>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</si>
  <si>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</si>
  <si>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</si>
  <si>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</si>
  <si>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</si>
  <si>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</si>
  <si>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</si>
  <si>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</si>
  <si>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</si>
  <si>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</si>
  <si>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</si>
  <si>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</si>
  <si>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</si>
  <si>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</si>
  <si>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</si>
  <si>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</si>
  <si>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</si>
  <si>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</si>
  <si>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</si>
  <si>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</si>
  <si>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</si>
  <si>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</si>
  <si>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</si>
  <si>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</si>
  <si>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</si>
  <si>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</si>
  <si>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</si>
  <si>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</si>
  <si>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</si>
  <si>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</si>
  <si>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</si>
  <si>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</si>
  <si>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</si>
  <si>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</si>
  <si>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</si>
  <si>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</si>
  <si>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</si>
  <si>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</si>
  <si>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</si>
  <si>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</si>
  <si>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</si>
  <si>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</si>
  <si>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</si>
  <si>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</si>
  <si>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</si>
  <si>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</si>
  <si>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</si>
  <si>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</si>
  <si>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</si>
  <si>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</si>
  <si>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</si>
  <si>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</si>
  <si>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</si>
  <si>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</si>
  <si>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</si>
  <si>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</si>
  <si>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</si>
  <si>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</si>
  <si>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</si>
  <si>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</si>
  <si>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</si>
  <si>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</si>
  <si>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</si>
  <si>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</si>
  <si>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</si>
  <si>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</si>
  <si>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</si>
  <si>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</si>
  <si>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</si>
  <si>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</si>
  <si>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</si>
  <si>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</si>
  <si>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</si>
  <si>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</si>
  <si>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</si>
  <si>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</si>
  <si>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</si>
  <si>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</si>
  <si>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</si>
  <si>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</si>
  <si>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</si>
  <si>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</si>
  <si>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</si>
  <si>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</si>
  <si>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</si>
  <si>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</si>
  <si>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</si>
  <si>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</si>
  <si>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</si>
  <si>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</si>
  <si>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</si>
  <si>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</si>
  <si>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</si>
  <si>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</si>
  <si>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</si>
  <si>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</si>
  <si>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</si>
  <si>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</si>
  <si>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</si>
  <si>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</si>
  <si>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</si>
  <si>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</si>
  <si>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</si>
  <si>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</si>
  <si>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</si>
  <si>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</si>
  <si>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</si>
  <si>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</si>
  <si>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</si>
  <si>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</si>
  <si>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</si>
  <si>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</si>
  <si>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</si>
  <si>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</si>
  <si>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</si>
  <si>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</si>
  <si>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</si>
  <si>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</si>
  <si>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</si>
  <si>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</si>
  <si>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</si>
  <si>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</si>
  <si>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</si>
  <si>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</si>
  <si>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</si>
  <si>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</si>
  <si>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</si>
  <si>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</si>
  <si>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</si>
  <si>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</si>
  <si>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</si>
  <si>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</si>
  <si>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</si>
  <si>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</si>
  <si>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</si>
  <si>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</si>
  <si>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</si>
  <si>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</si>
  <si>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</si>
  <si>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</si>
  <si>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</si>
  <si>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</si>
  <si>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</si>
  <si>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</si>
  <si>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</si>
  <si>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</si>
  <si>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</si>
  <si>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</si>
  <si>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</si>
  <si>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</si>
  <si>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</si>
  <si>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</si>
  <si>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</si>
  <si>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</si>
  <si>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</si>
  <si>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</si>
  <si>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</si>
  <si>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</si>
  <si>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</si>
  <si>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</si>
  <si>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</si>
  <si>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</si>
  <si>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</si>
  <si>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</si>
  <si>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</si>
  <si>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</si>
  <si>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</si>
  <si>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</si>
  <si>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</si>
  <si>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</si>
  <si>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</si>
  <si>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</si>
  <si>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</si>
  <si>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</si>
  <si>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</si>
  <si>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</si>
  <si>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</si>
  <si>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</si>
  <si>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</si>
  <si>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</si>
  <si>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</si>
  <si>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</si>
  <si>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</si>
  <si>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</si>
  <si>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</si>
  <si>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</si>
  <si>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</si>
  <si>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</si>
  <si>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</si>
  <si>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</si>
  <si>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</si>
  <si>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</si>
  <si>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</si>
  <si>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</si>
  <si>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</si>
  <si>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</si>
  <si>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</si>
  <si>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</si>
  <si>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</si>
  <si>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</si>
  <si>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</si>
  <si>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</si>
  <si>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</si>
  <si>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</si>
  <si>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</si>
  <si>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</si>
  <si>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</si>
  <si>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</si>
  <si>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</si>
  <si>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</si>
  <si>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</si>
  <si>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</si>
  <si>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</si>
  <si>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</si>
  <si>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</si>
  <si>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</si>
  <si>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</si>
  <si>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</si>
  <si>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</si>
  <si>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</si>
  <si>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</si>
  <si>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</si>
  <si>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</si>
  <si>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</si>
  <si>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</si>
  <si>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</si>
  <si>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</si>
  <si>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</si>
  <si>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</si>
  <si>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</si>
  <si>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</si>
  <si>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</si>
  <si>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</si>
  <si>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</si>
  <si>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</si>
  <si>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</si>
  <si>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</si>
  <si>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</si>
  <si>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</si>
  <si>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</si>
  <si>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</si>
  <si>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</si>
  <si>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</si>
  <si>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</si>
  <si>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</si>
  <si>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</si>
  <si>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</si>
  <si>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</si>
  <si>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</si>
  <si>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</si>
  <si>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</si>
  <si>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</si>
  <si>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</si>
  <si>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</si>
  <si>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</si>
  <si>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</si>
  <si>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</si>
  <si>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</si>
  <si>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</si>
  <si>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</si>
  <si>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</si>
  <si>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</si>
  <si>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</si>
  <si>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</si>
  <si>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</si>
  <si>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</si>
  <si>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</si>
  <si>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</si>
  <si>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</si>
  <si>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</si>
  <si>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</si>
  <si>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</si>
  <si>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</si>
  <si>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</si>
  <si>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</si>
  <si>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</si>
  <si>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</si>
  <si>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</si>
  <si>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</si>
  <si>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</si>
  <si>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</si>
  <si>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</si>
  <si>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</si>
  <si>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</si>
  <si>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</si>
  <si>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</si>
  <si>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</si>
  <si>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</si>
  <si>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</si>
  <si>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</si>
  <si>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</si>
  <si>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</si>
  <si>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</si>
  <si>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</si>
  <si>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</si>
  <si>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</si>
  <si>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</si>
  <si>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</si>
  <si>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</si>
  <si>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</si>
  <si>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</si>
  <si>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</si>
  <si>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</si>
  <si>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</si>
  <si>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</si>
  <si>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</si>
  <si>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</si>
  <si>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</si>
  <si>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</si>
  <si>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</si>
  <si>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</si>
  <si>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</si>
  <si>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</si>
  <si>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</si>
  <si>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</si>
  <si>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</si>
  <si>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</si>
  <si>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</si>
  <si>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</si>
  <si>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</si>
  <si>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</si>
  <si>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</si>
  <si>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</si>
  <si>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</si>
  <si>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</si>
  <si>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</si>
  <si>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</si>
  <si>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</si>
  <si>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</si>
  <si>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</si>
  <si>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</si>
  <si>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</si>
  <si>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</si>
  <si>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</si>
  <si>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</si>
  <si>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</si>
  <si>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</si>
  <si>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</si>
  <si>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</si>
  <si>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</si>
  <si>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</si>
  <si>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</si>
  <si>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</si>
  <si>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</si>
  <si>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</si>
  <si>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</si>
  <si>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</si>
  <si>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</si>
  <si>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</si>
  <si>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</si>
  <si>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</si>
  <si>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</si>
  <si>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</si>
  <si>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</si>
  <si>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</si>
  <si>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</si>
  <si>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</si>
  <si>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</si>
  <si>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</si>
  <si>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</si>
  <si>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</si>
  <si>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</si>
  <si>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</si>
  <si>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</si>
  <si>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</si>
  <si>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</si>
  <si>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</si>
  <si>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</si>
  <si>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</si>
  <si>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</si>
  <si>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</si>
  <si>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</si>
  <si>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</si>
  <si>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</si>
  <si>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</si>
  <si>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</si>
  <si>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</si>
  <si>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</si>
  <si>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</si>
  <si>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</si>
  <si>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</si>
  <si>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</si>
  <si>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</si>
  <si>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</si>
  <si>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</si>
  <si>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</si>
  <si>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</si>
  <si>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</si>
  <si>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</si>
  <si>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</si>
  <si>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</si>
  <si>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</si>
  <si>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</si>
  <si>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</si>
  <si>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</si>
  <si>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</si>
  <si>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</si>
  <si>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</si>
  <si>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</si>
  <si>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</si>
  <si>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</si>
  <si>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</si>
  <si>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</si>
  <si>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</si>
  <si>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</si>
  <si>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</si>
  <si>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</si>
  <si>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</si>
  <si>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</si>
  <si>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</si>
  <si>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</si>
  <si>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</si>
  <si>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</si>
  <si>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</si>
  <si>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</si>
  <si>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</si>
  <si>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</si>
  <si>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</si>
  <si>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</si>
  <si>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</si>
  <si>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</si>
  <si>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</si>
  <si>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</si>
  <si>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</si>
  <si>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</si>
  <si>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</si>
  <si>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</si>
  <si>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</si>
  <si>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</si>
  <si>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</si>
  <si>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</si>
  <si>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</si>
  <si>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</si>
  <si>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</si>
  <si>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</si>
  <si>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</si>
  <si>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</si>
  <si>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</si>
  <si>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</si>
  <si>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</si>
  <si>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</si>
  <si>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</si>
  <si>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</si>
  <si>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</si>
  <si>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</si>
  <si>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</si>
  <si>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</si>
  <si>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</si>
  <si>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</si>
  <si>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</si>
  <si>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</si>
  <si>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</si>
  <si>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</si>
  <si>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</si>
  <si>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</si>
  <si>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</si>
  <si>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</si>
  <si>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</si>
  <si>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</si>
  <si>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</si>
  <si>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</si>
  <si>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</si>
  <si>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</si>
  <si>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</si>
  <si>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</si>
  <si>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</si>
  <si>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</si>
  <si>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</si>
  <si>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</si>
  <si>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</si>
  <si>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</si>
  <si>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</si>
  <si>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</si>
  <si>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</si>
  <si>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</si>
  <si>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</si>
  <si>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</si>
  <si>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</si>
  <si>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</si>
  <si>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</si>
  <si>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</si>
  <si>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</si>
  <si>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</si>
  <si>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</si>
  <si>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</si>
  <si>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</si>
  <si>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</si>
  <si>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</si>
  <si>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</si>
  <si>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</si>
  <si>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</si>
  <si>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</si>
  <si>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</si>
  <si>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</si>
  <si>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</si>
  <si>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</si>
  <si>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</si>
  <si>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</si>
  <si>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</si>
  <si>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</si>
  <si>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</si>
  <si>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</si>
  <si>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</si>
  <si>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</si>
  <si>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</si>
  <si>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</si>
  <si>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</si>
  <si>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</si>
  <si>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</si>
  <si>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</si>
  <si>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</si>
  <si>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</si>
  <si>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</si>
  <si>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</si>
  <si>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</si>
  <si>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</si>
  <si>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</si>
  <si>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</si>
  <si>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</si>
  <si>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</si>
  <si>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</si>
  <si>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</si>
  <si>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</si>
  <si>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</si>
  <si>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</si>
  <si>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</si>
  <si>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</si>
  <si>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</si>
  <si>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</si>
  <si>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</si>
  <si>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</si>
  <si>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</si>
  <si>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</si>
  <si>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</si>
  <si>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</si>
  <si>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</si>
  <si>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</si>
  <si>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</si>
  <si>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</si>
  <si>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</si>
  <si>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</si>
  <si>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</si>
  <si>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</si>
  <si>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</si>
  <si>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</si>
  <si>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</si>
  <si>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</si>
  <si>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</si>
  <si>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</si>
  <si>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</si>
  <si>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</si>
  <si>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</si>
  <si>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</si>
  <si>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</si>
  <si>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</si>
  <si>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</si>
  <si>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</si>
  <si>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</si>
  <si>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</si>
  <si>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</si>
  <si>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</si>
  <si>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</si>
  <si>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</si>
  <si>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</si>
  <si>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</si>
  <si>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</si>
  <si>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</si>
  <si>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</si>
  <si>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</si>
  <si>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</si>
  <si>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</si>
  <si>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</si>
  <si>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</si>
  <si>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</si>
  <si>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</si>
  <si>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</si>
  <si>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</si>
  <si>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</si>
  <si>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</si>
  <si>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</si>
  <si>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MACOUPIN</t>
  </si>
  <si>
    <t>504 E WARREN</t>
  </si>
  <si>
    <t xml:space="preserve">BUNKER HILL  </t>
  </si>
  <si>
    <t>TDUGAN@BHCUSD.ORG</t>
  </si>
  <si>
    <t>LOY MILLER TALLEY, PC</t>
  </si>
  <si>
    <t>KENNETH E. LOY, C.P.A.</t>
  </si>
  <si>
    <t>#2 CROSSROADS CT</t>
  </si>
  <si>
    <t>ALTON</t>
  </si>
  <si>
    <t>IL</t>
  </si>
  <si>
    <t>(618)465-1196</t>
  </si>
  <si>
    <t>(618)465-2900</t>
  </si>
  <si>
    <t>KEN@LMTCPAS.COM</t>
  </si>
  <si>
    <t xml:space="preserve">TODD DUGAN </t>
  </si>
  <si>
    <t>(618)585-3116</t>
  </si>
  <si>
    <t>(618)585-3212</t>
  </si>
  <si>
    <t>MICHELLE MUELLER</t>
  </si>
  <si>
    <t>MMUELLER@ROE40.COM</t>
  </si>
  <si>
    <t>(217)854-4016</t>
  </si>
  <si>
    <t>(217)854-2032</t>
  </si>
  <si>
    <t>066-004886</t>
  </si>
  <si>
    <t>GENERAL OBLIGATION BOND SERIES 2016</t>
  </si>
  <si>
    <t>GENERAL OBLIGATION BOND SERIES 2018</t>
  </si>
  <si>
    <t>BUS LEASE</t>
  </si>
  <si>
    <t>NO CONTRACTS</t>
  </si>
  <si>
    <t>LONG TERM DEBT ASSOCIATED FROM THE BUS LEASE LISTED ON THE SCHEDULE OF LONG TERM DEBT WAS PAID FROM FUND 40 INSTEAD OF FUND 30.</t>
  </si>
  <si>
    <t>10-1614 "SALES TO PUPILS - OTHER" $1,611</t>
  </si>
  <si>
    <t>10-1790 "OTHER PUPIL ACTIVITY" $10,998</t>
  </si>
  <si>
    <t>10-1993 "DRIVERS ED FEES" $6673, "H.S. LAB FEES" $2178</t>
  </si>
  <si>
    <t>10-1999 " OTHER LOCAL INCOME" $22,831</t>
  </si>
  <si>
    <t>20-1999 "OTHER LOCAL REVENUE" $780</t>
  </si>
  <si>
    <t>40-1999 "OTHER LOCAL REVENUE "$100</t>
  </si>
  <si>
    <t>10-3999 "LIBRARY GRANT" $750, "AP GRANT REVENUES" $57,526</t>
  </si>
  <si>
    <t>10-4998 "CIRR - PERKINS III" $6906</t>
  </si>
  <si>
    <t>30-5400-300 "SERVICE FEE ON BONDS" $150</t>
  </si>
  <si>
    <t>Bunker Hill CUSD8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</si>
</sst>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40056008026</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2086</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62002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2071</v>
      </c>
      <c r="U23" s="2127"/>
      <c r="V23" s="2127"/>
      <c r="W23" s="2127"/>
      <c r="X23" s="2131">
        <v>44197</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62014</v>
      </c>
      <c r="B25" s="2038"/>
      <c r="C25" s="2038"/>
      <c r="D25" s="2038"/>
      <c r="E25" s="2038"/>
      <c r="F25" s="2038"/>
      <c r="G25" s="2038"/>
      <c r="H25" s="2039"/>
      <c r="I25" s="110"/>
      <c r="J25" s="2062"/>
      <c r="K25" s="2062"/>
      <c r="L25" s="2062"/>
      <c r="M25" s="2062"/>
      <c r="N25" s="2062"/>
      <c r="O25" s="2062"/>
      <c r="P25" s="2062"/>
      <c r="Q25" s="2062"/>
      <c r="R25" s="2062"/>
      <c r="S25" s="2063"/>
      <c r="T25" s="2124" t="s">
        <v>2063</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t="s">
        <v>2067</v>
      </c>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3"/>
      <c r="D40" s="2053"/>
      <c r="E40" s="2053"/>
      <c r="F40" s="2054"/>
      <c r="G40" s="2054"/>
      <c r="H40" s="2055"/>
      <c r="I40" s="2076"/>
      <c r="J40" s="2077"/>
      <c r="K40" s="2077"/>
      <c r="L40" s="2077"/>
      <c r="M40" s="2077"/>
      <c r="N40" s="2077"/>
      <c r="O40" s="2077"/>
      <c r="P40" s="2077"/>
      <c r="Q40" s="2077"/>
      <c r="R40" s="2077"/>
      <c r="S40" s="2078"/>
      <c r="T40" s="2076" t="s">
        <v>2068</v>
      </c>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2065</v>
      </c>
      <c r="B42" s="2057"/>
      <c r="C42" s="2058"/>
      <c r="D42" s="2056" t="s">
        <v>2066</v>
      </c>
      <c r="E42" s="2057"/>
      <c r="F42" s="2057"/>
      <c r="G42" s="2057"/>
      <c r="H42" s="2058"/>
      <c r="I42" s="2040"/>
      <c r="J42" s="2041"/>
      <c r="K42" s="2041"/>
      <c r="L42" s="2041"/>
      <c r="M42" s="2041"/>
      <c r="N42" s="2041"/>
      <c r="O42" s="2042"/>
      <c r="P42" s="2075"/>
      <c r="Q42" s="2041"/>
      <c r="R42" s="2041"/>
      <c r="S42" s="2042"/>
      <c r="T42" s="2040" t="s">
        <v>2069</v>
      </c>
      <c r="U42" s="2041"/>
      <c r="V42" s="2041"/>
      <c r="W42" s="2042"/>
      <c r="X42" s="2075" t="s">
        <v>2070</v>
      </c>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1113671</v>
      </c>
      <c r="C4" s="1722">
        <v>1526</v>
      </c>
      <c r="D4" s="1723">
        <f>B4-C4</f>
        <v>1112145</v>
      </c>
      <c r="E4" s="1722">
        <f>1143927+17332</f>
        <v>1161259</v>
      </c>
      <c r="F4" s="1723">
        <f>E4-C4</f>
        <v>1159733</v>
      </c>
    </row>
    <row r="5" spans="1:8" ht="13.7" customHeight="1" x14ac:dyDescent="0.2">
      <c r="A5" s="579" t="s">
        <v>865</v>
      </c>
      <c r="B5" s="1724">
        <f>'Revenues 9-14'!D5</f>
        <v>274964</v>
      </c>
      <c r="C5" s="1664">
        <v>369</v>
      </c>
      <c r="D5" s="1725">
        <f t="shared" ref="D5:D18" si="0">B5-C5</f>
        <v>274595</v>
      </c>
      <c r="E5" s="1664">
        <f>279609+4197</f>
        <v>283806</v>
      </c>
      <c r="F5" s="1725">
        <f>E5-C5</f>
        <v>283437</v>
      </c>
    </row>
    <row r="6" spans="1:8" ht="13.7" customHeight="1" x14ac:dyDescent="0.2">
      <c r="A6" s="579" t="s">
        <v>408</v>
      </c>
      <c r="B6" s="1724">
        <f>'Revenues 9-14'!E5</f>
        <v>20335</v>
      </c>
      <c r="C6" s="1664">
        <v>27</v>
      </c>
      <c r="D6" s="1725">
        <f t="shared" si="0"/>
        <v>20308</v>
      </c>
      <c r="E6" s="1664">
        <f>20006+359</f>
        <v>20365</v>
      </c>
      <c r="F6" s="1725">
        <f t="shared" ref="F6:F18" si="1">E6-C6</f>
        <v>20338</v>
      </c>
    </row>
    <row r="7" spans="1:8" ht="13.7" customHeight="1" x14ac:dyDescent="0.2">
      <c r="A7" s="579" t="s">
        <v>154</v>
      </c>
      <c r="B7" s="1724">
        <f>'Revenues 9-14'!F5</f>
        <v>112123</v>
      </c>
      <c r="C7" s="1664">
        <v>148</v>
      </c>
      <c r="D7" s="1725">
        <f t="shared" si="0"/>
        <v>111975</v>
      </c>
      <c r="E7" s="1664">
        <f>120091+1679</f>
        <v>121770</v>
      </c>
      <c r="F7" s="1725">
        <f t="shared" si="1"/>
        <v>121622</v>
      </c>
    </row>
    <row r="8" spans="1:8" ht="13.7" customHeight="1" x14ac:dyDescent="0.2">
      <c r="A8" s="579" t="s">
        <v>1169</v>
      </c>
      <c r="B8" s="1724">
        <f>'Revenues 9-14'!G5</f>
        <v>45463</v>
      </c>
      <c r="C8" s="1664">
        <v>76</v>
      </c>
      <c r="D8" s="1725">
        <f t="shared" si="0"/>
        <v>45387</v>
      </c>
      <c r="E8" s="1664">
        <f>54091+861</f>
        <v>54952</v>
      </c>
      <c r="F8" s="1725">
        <f t="shared" si="1"/>
        <v>54876</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26392</v>
      </c>
      <c r="C10" s="1664">
        <v>37</v>
      </c>
      <c r="D10" s="1725">
        <f t="shared" si="0"/>
        <v>26355</v>
      </c>
      <c r="E10" s="1664">
        <f>26383+420</f>
        <v>26803</v>
      </c>
      <c r="F10" s="1725">
        <f t="shared" si="1"/>
        <v>26766</v>
      </c>
    </row>
    <row r="11" spans="1:8" x14ac:dyDescent="0.2">
      <c r="A11" s="579" t="s">
        <v>406</v>
      </c>
      <c r="B11" s="1724">
        <f>'Revenues 9-14'!J5</f>
        <v>323176</v>
      </c>
      <c r="C11" s="1664">
        <v>404</v>
      </c>
      <c r="D11" s="1725">
        <f t="shared" si="0"/>
        <v>322772</v>
      </c>
      <c r="E11" s="1664">
        <f>288225+4586</f>
        <v>292811</v>
      </c>
      <c r="F11" s="1725">
        <f t="shared" si="1"/>
        <v>292407</v>
      </c>
    </row>
    <row r="12" spans="1:8" ht="13.7" customHeight="1" x14ac:dyDescent="0.2">
      <c r="A12" s="579" t="s">
        <v>156</v>
      </c>
      <c r="B12" s="1724">
        <f>'Revenues 9-14'!K5</f>
        <v>27494</v>
      </c>
      <c r="C12" s="1664">
        <v>37</v>
      </c>
      <c r="D12" s="1725">
        <f t="shared" si="0"/>
        <v>27457</v>
      </c>
      <c r="E12" s="1664">
        <f>27659+420</f>
        <v>28079</v>
      </c>
      <c r="F12" s="1725">
        <f t="shared" si="1"/>
        <v>28042</v>
      </c>
    </row>
    <row r="13" spans="1:8" ht="13.7" customHeight="1" x14ac:dyDescent="0.2">
      <c r="A13" s="579" t="s">
        <v>930</v>
      </c>
      <c r="B13" s="1724">
        <f>SUM('Revenues 9-14'!C6:D6)</f>
        <v>27632</v>
      </c>
      <c r="C13" s="1664">
        <v>30</v>
      </c>
      <c r="D13" s="1725">
        <f t="shared" si="0"/>
        <v>27602</v>
      </c>
      <c r="E13" s="1664">
        <f>27253+420</f>
        <v>27673</v>
      </c>
      <c r="F13" s="1725">
        <f t="shared" si="1"/>
        <v>27643</v>
      </c>
    </row>
    <row r="14" spans="1:8" ht="13.7" customHeight="1" x14ac:dyDescent="0.2">
      <c r="A14" s="579" t="s">
        <v>407</v>
      </c>
      <c r="B14" s="1724">
        <f>SUM('Revenues 9-14'!C7:D7,'Revenues 9-14'!F7:H7)</f>
        <v>22105</v>
      </c>
      <c r="C14" s="1664">
        <v>30</v>
      </c>
      <c r="D14" s="1725">
        <f t="shared" si="0"/>
        <v>22075</v>
      </c>
      <c r="E14" s="1664">
        <f>22132+336</f>
        <v>22468</v>
      </c>
      <c r="F14" s="1725">
        <f t="shared" si="1"/>
        <v>22438</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63651</v>
      </c>
      <c r="C16" s="1664">
        <v>101</v>
      </c>
      <c r="D16" s="1725">
        <f t="shared" si="0"/>
        <v>63550</v>
      </c>
      <c r="E16" s="1664">
        <f>71960+1145</f>
        <v>73105</v>
      </c>
      <c r="F16" s="1725">
        <f t="shared" si="1"/>
        <v>73004</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2057006</v>
      </c>
      <c r="C19" s="1726">
        <f>SUM(C4:C18)</f>
        <v>2785</v>
      </c>
      <c r="D19" s="1726">
        <f>SUM(D4:D18)</f>
        <v>2054221</v>
      </c>
      <c r="E19" s="1726">
        <f>SUM(E4:E18)</f>
        <v>2113091</v>
      </c>
      <c r="F19" s="1726">
        <f>SUM(F4:F18)</f>
        <v>2110306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K38" sqref="K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42398</v>
      </c>
      <c r="C31" s="1734">
        <v>765000</v>
      </c>
      <c r="D31" s="1735">
        <v>4</v>
      </c>
      <c r="E31" s="1734">
        <v>701000</v>
      </c>
      <c r="F31" s="1734"/>
      <c r="G31" s="1734"/>
      <c r="H31" s="1734">
        <f>33000</f>
        <v>33000</v>
      </c>
      <c r="I31" s="1736">
        <f>((E31+F31)-H31)+G31</f>
        <v>668000</v>
      </c>
      <c r="J31" s="1734">
        <v>453700</v>
      </c>
      <c r="K31" s="596"/>
    </row>
    <row r="32" spans="1:11" ht="12" customHeight="1" x14ac:dyDescent="0.2">
      <c r="A32" s="594" t="s">
        <v>2073</v>
      </c>
      <c r="B32" s="595">
        <v>43138</v>
      </c>
      <c r="C32" s="1734">
        <v>1500000</v>
      </c>
      <c r="D32" s="1735">
        <v>4</v>
      </c>
      <c r="E32" s="1734">
        <v>1442000</v>
      </c>
      <c r="F32" s="1734"/>
      <c r="G32" s="1734"/>
      <c r="H32" s="1734">
        <v>76000</v>
      </c>
      <c r="I32" s="1736">
        <f>((E32+F32)-H32)+G32</f>
        <v>1366000</v>
      </c>
      <c r="J32" s="1734">
        <v>1366000</v>
      </c>
      <c r="K32" s="596"/>
    </row>
    <row r="33" spans="1:11" ht="12" customHeight="1" x14ac:dyDescent="0.2">
      <c r="A33" s="594" t="s">
        <v>2074</v>
      </c>
      <c r="B33" s="595">
        <v>42913</v>
      </c>
      <c r="C33" s="1734">
        <v>294768</v>
      </c>
      <c r="D33" s="1735">
        <v>7</v>
      </c>
      <c r="E33" s="1734">
        <v>204190</v>
      </c>
      <c r="F33" s="1734"/>
      <c r="G33" s="1734"/>
      <c r="H33" s="1734">
        <v>42273</v>
      </c>
      <c r="I33" s="1736">
        <f t="shared" ref="I33:I48" si="1">((E33+F33)-H33)+G33</f>
        <v>161917</v>
      </c>
      <c r="J33" s="1734">
        <v>161917</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2559768</v>
      </c>
      <c r="D49" s="1742"/>
      <c r="E49" s="1736">
        <f t="shared" ref="E49:J49" si="2">SUM(E31:E48)</f>
        <v>2347190</v>
      </c>
      <c r="F49" s="1736">
        <f t="shared" si="2"/>
        <v>0</v>
      </c>
      <c r="G49" s="1736">
        <f t="shared" si="2"/>
        <v>0</v>
      </c>
      <c r="H49" s="1736">
        <f t="shared" si="2"/>
        <v>151273</v>
      </c>
      <c r="I49" s="1736">
        <f t="shared" si="2"/>
        <v>2195917</v>
      </c>
      <c r="J49" s="1736">
        <f t="shared" si="2"/>
        <v>1981617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7" sqref="J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184218</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22105</v>
      </c>
      <c r="I5" s="1750"/>
      <c r="J5" s="1751"/>
      <c r="K5" s="1751"/>
    </row>
    <row r="6" spans="1:11" x14ac:dyDescent="0.2">
      <c r="A6" s="625" t="s">
        <v>715</v>
      </c>
      <c r="B6" s="626"/>
      <c r="C6" s="626"/>
      <c r="D6" s="626"/>
      <c r="E6" s="627"/>
      <c r="F6" s="628" t="s">
        <v>844</v>
      </c>
      <c r="G6" s="1744"/>
      <c r="H6" s="1744"/>
      <c r="I6" s="1744"/>
      <c r="J6" s="1745">
        <v>1633</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185520</v>
      </c>
      <c r="K8" s="1748"/>
    </row>
    <row r="9" spans="1:11" x14ac:dyDescent="0.2">
      <c r="A9" s="629" t="s">
        <v>137</v>
      </c>
      <c r="B9" s="630"/>
      <c r="C9" s="630"/>
      <c r="D9" s="630"/>
      <c r="E9" s="631"/>
      <c r="F9" s="628" t="s">
        <v>848</v>
      </c>
      <c r="G9" s="1753"/>
      <c r="H9" s="1749"/>
      <c r="I9" s="1749"/>
      <c r="J9" s="1752"/>
      <c r="K9" s="1745">
        <v>5333</v>
      </c>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22105</v>
      </c>
      <c r="I12" s="1755">
        <f>SUM(I5:I11)</f>
        <v>0</v>
      </c>
      <c r="J12" s="1755">
        <f>SUM(J5:J11)</f>
        <v>187153</v>
      </c>
      <c r="K12" s="1755">
        <f>SUM(K5:K11)</f>
        <v>5333</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22105</v>
      </c>
      <c r="I14" s="1749"/>
      <c r="J14" s="1751"/>
      <c r="K14" s="1745">
        <v>5333</v>
      </c>
    </row>
    <row r="15" spans="1:11" x14ac:dyDescent="0.2">
      <c r="A15" s="2323" t="s">
        <v>4</v>
      </c>
      <c r="B15" s="2323"/>
      <c r="C15" s="2323"/>
      <c r="D15" s="2323"/>
      <c r="E15" s="2324"/>
      <c r="F15" s="635" t="s">
        <v>850</v>
      </c>
      <c r="G15" s="1749"/>
      <c r="H15" s="1744"/>
      <c r="I15" s="1744"/>
      <c r="J15" s="1745">
        <v>160000</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22105</v>
      </c>
      <c r="I23" s="1755">
        <f>SUM(I14:I16,I21,I22)</f>
        <v>0</v>
      </c>
      <c r="J23" s="1755">
        <f>SUM(J14:J16,J21,J22)</f>
        <v>160000</v>
      </c>
      <c r="K23" s="1755">
        <f>SUM(K14:K16,K21,K22)</f>
        <v>5333</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211371</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211371</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63426</v>
      </c>
      <c r="D5" s="1770"/>
      <c r="E5" s="1770"/>
      <c r="F5" s="1765">
        <f>(C5+D5)-E5</f>
        <v>63426</v>
      </c>
      <c r="G5" s="676"/>
      <c r="H5" s="680"/>
      <c r="I5" s="680"/>
      <c r="J5" s="680"/>
      <c r="K5" s="637"/>
      <c r="L5" s="1442">
        <f>F5-K5</f>
        <v>63426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8945692</v>
      </c>
      <c r="D8" s="1771"/>
      <c r="E8" s="1771"/>
      <c r="F8" s="1765">
        <f>(C8+D8)-E8</f>
        <v>8945692</v>
      </c>
      <c r="G8" s="681">
        <v>50</v>
      </c>
      <c r="H8" s="619">
        <v>4871003</v>
      </c>
      <c r="I8" s="619">
        <v>81494</v>
      </c>
      <c r="J8" s="619"/>
      <c r="K8" s="1442">
        <f>(H8+I8)-J8</f>
        <v>4952497</v>
      </c>
      <c r="L8" s="1442">
        <f>F8-K8</f>
        <v>3993195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38078</v>
      </c>
      <c r="D10" s="1772"/>
      <c r="E10" s="1772"/>
      <c r="F10" s="1773">
        <f>(C10+D10)-E10</f>
        <v>38078</v>
      </c>
      <c r="G10" s="681">
        <v>20</v>
      </c>
      <c r="H10" s="683"/>
      <c r="I10" s="683"/>
      <c r="J10" s="683"/>
      <c r="K10" s="1442">
        <f>(H10+I10)-J10</f>
        <v>0</v>
      </c>
      <c r="L10" s="1442">
        <f>F10-K10</f>
        <v>38078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1398178</v>
      </c>
      <c r="D12" s="1771">
        <v>49048</v>
      </c>
      <c r="E12" s="1771"/>
      <c r="F12" s="1765">
        <f>(C12+D12)-E12</f>
        <v>1447226</v>
      </c>
      <c r="G12" s="681">
        <v>10</v>
      </c>
      <c r="H12" s="619">
        <v>759968</v>
      </c>
      <c r="I12" s="619">
        <v>66273</v>
      </c>
      <c r="J12" s="619"/>
      <c r="K12" s="1442">
        <f>(H12+I12)-J12</f>
        <v>826241</v>
      </c>
      <c r="L12" s="1442">
        <f>F12-K12</f>
        <v>620985</v>
      </c>
    </row>
    <row r="13" spans="1:14" ht="14.25" thickTop="1" thickBot="1" x14ac:dyDescent="0.25">
      <c r="A13" s="684" t="s">
        <v>1112</v>
      </c>
      <c r="B13" s="679">
        <v>252</v>
      </c>
      <c r="C13" s="1771">
        <v>984943</v>
      </c>
      <c r="D13" s="1771"/>
      <c r="E13" s="1771"/>
      <c r="F13" s="1765">
        <f>(C13+D13)-E13</f>
        <v>984943</v>
      </c>
      <c r="G13" s="681">
        <v>5</v>
      </c>
      <c r="H13" s="619">
        <v>801067</v>
      </c>
      <c r="I13" s="619">
        <v>50913</v>
      </c>
      <c r="J13" s="619"/>
      <c r="K13" s="1442">
        <f>(H13+I13)-J13</f>
        <v>851980</v>
      </c>
      <c r="L13" s="1442">
        <f>F13-K13</f>
        <v>132963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11430317</v>
      </c>
      <c r="D16" s="1765">
        <f>SUM(D3,D5:D6,D8:D10,D12:D15)</f>
        <v>49048</v>
      </c>
      <c r="E16" s="1765">
        <f>SUM(E3,E5:E6,E8:E10,E12:E15)</f>
        <v>0</v>
      </c>
      <c r="F16" s="1765">
        <f>SUM(F3,F5:F6,F8:F10,F12:F15)</f>
        <v>11479365</v>
      </c>
      <c r="G16" s="681"/>
      <c r="H16" s="1435">
        <f>SUM(H3,H6,H8:H10,H12:H14,)</f>
        <v>6432038</v>
      </c>
      <c r="I16" s="1435">
        <f>SUM(I3,I6,I8:I10,I12:I14,)</f>
        <v>198680</v>
      </c>
      <c r="J16" s="1435">
        <f>SUM(J3,J6,J8:J10,J12:J14,)</f>
        <v>0</v>
      </c>
      <c r="K16" s="1435">
        <f>(H16+I16)-J16</f>
        <v>6630718</v>
      </c>
      <c r="L16" s="1435">
        <f>F16-K16</f>
        <v>4848647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198680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5244489</v>
      </c>
      <c r="G8" s="701"/>
    </row>
    <row r="9" spans="1:9" x14ac:dyDescent="0.2">
      <c r="A9" s="705" t="s">
        <v>457</v>
      </c>
      <c r="B9" s="706" t="s">
        <v>1848</v>
      </c>
      <c r="C9" s="707"/>
      <c r="D9" s="705" t="s">
        <v>498</v>
      </c>
      <c r="E9" s="704"/>
      <c r="F9" s="1775">
        <f>'Expenditures 15-22'!K151</f>
        <v>134560</v>
      </c>
      <c r="G9" s="708"/>
    </row>
    <row r="10" spans="1:9" x14ac:dyDescent="0.2">
      <c r="A10" s="705" t="s">
        <v>496</v>
      </c>
      <c r="B10" s="706" t="s">
        <v>1849</v>
      </c>
      <c r="C10" s="707"/>
      <c r="D10" s="705" t="s">
        <v>498</v>
      </c>
      <c r="E10" s="704"/>
      <c r="F10" s="1775">
        <f>'Expenditures 15-22'!K174</f>
        <v>177755</v>
      </c>
      <c r="G10" s="708"/>
    </row>
    <row r="11" spans="1:9" x14ac:dyDescent="0.2">
      <c r="A11" s="705" t="s">
        <v>458</v>
      </c>
      <c r="B11" s="706" t="s">
        <v>1850</v>
      </c>
      <c r="C11" s="707"/>
      <c r="D11" s="705" t="s">
        <v>498</v>
      </c>
      <c r="E11" s="704"/>
      <c r="F11" s="1775">
        <f>'Expenditures 15-22'!K210</f>
        <v>194547</v>
      </c>
      <c r="G11" s="708"/>
    </row>
    <row r="12" spans="1:9" x14ac:dyDescent="0.2">
      <c r="A12" s="705" t="s">
        <v>459</v>
      </c>
      <c r="B12" s="706" t="s">
        <v>1851</v>
      </c>
      <c r="C12" s="707"/>
      <c r="D12" s="705" t="s">
        <v>498</v>
      </c>
      <c r="E12" s="704"/>
      <c r="F12" s="1775">
        <f>'Expenditures 15-22'!K295</f>
        <v>197489</v>
      </c>
      <c r="G12" s="708"/>
    </row>
    <row r="13" spans="1:9" x14ac:dyDescent="0.2">
      <c r="A13" s="705" t="s">
        <v>106</v>
      </c>
      <c r="B13" s="706" t="s">
        <v>1852</v>
      </c>
      <c r="C13" s="707"/>
      <c r="D13" s="705" t="s">
        <v>498</v>
      </c>
      <c r="E13" s="704"/>
      <c r="F13" s="1775">
        <f>'Expenditures 15-22'!K342</f>
        <v>201503</v>
      </c>
      <c r="G13" s="709"/>
    </row>
    <row r="14" spans="1:9" ht="12" customHeight="1" thickBot="1" x14ac:dyDescent="0.25">
      <c r="A14" s="1443"/>
      <c r="B14" s="1444"/>
      <c r="C14" s="1445"/>
      <c r="D14" s="1446" t="s">
        <v>498</v>
      </c>
      <c r="E14" s="1447" t="s">
        <v>952</v>
      </c>
      <c r="F14" s="1776">
        <f>SUM(F8:F13)</f>
        <v>6150343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152348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72435</v>
      </c>
      <c r="G52" s="701"/>
    </row>
    <row r="53" spans="1:7" x14ac:dyDescent="0.2">
      <c r="A53" s="705" t="s">
        <v>456</v>
      </c>
      <c r="B53" s="705" t="s">
        <v>1458</v>
      </c>
      <c r="C53" s="724">
        <f>'Expenditures 15-22'!B102</f>
        <v>4000</v>
      </c>
      <c r="D53" s="723" t="str">
        <f>'Expenditures 15-22'!A102</f>
        <v>Total Payments to Other Govt Units</v>
      </c>
      <c r="E53" s="704"/>
      <c r="F53" s="1782">
        <f>'Expenditures 15-22'!K102</f>
        <v>345370</v>
      </c>
      <c r="G53" s="701"/>
    </row>
    <row r="54" spans="1:7" x14ac:dyDescent="0.2">
      <c r="A54" s="705" t="s">
        <v>456</v>
      </c>
      <c r="B54" s="705" t="s">
        <v>1459</v>
      </c>
      <c r="C54" s="724" t="s">
        <v>975</v>
      </c>
      <c r="D54" s="720" t="s">
        <v>1086</v>
      </c>
      <c r="E54" s="704"/>
      <c r="F54" s="1782">
        <f>'Expenditures 15-22'!G114</f>
        <v>38938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10109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109000</v>
      </c>
      <c r="G61" s="701"/>
    </row>
    <row r="62" spans="1:7" x14ac:dyDescent="0.2">
      <c r="A62" s="705" t="s">
        <v>458</v>
      </c>
      <c r="B62" s="705" t="s">
        <v>1858</v>
      </c>
      <c r="C62" s="721">
        <f>'Expenditures 15-22'!B185</f>
        <v>3000</v>
      </c>
      <c r="D62" s="712" t="s">
        <v>446</v>
      </c>
      <c r="E62" s="704"/>
      <c r="F62" s="1782">
        <f>'Expenditures 15-22'!K185-SUM('Expenditures 15-22'!G185,'Expenditures 15-22'!I185)</f>
        <v>1304</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42273</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7650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779427</v>
      </c>
      <c r="G77" s="701"/>
    </row>
    <row r="78" spans="1:9" s="728" customFormat="1" ht="12" customHeight="1" thickTop="1" thickBot="1" x14ac:dyDescent="0.25">
      <c r="A78" s="1450"/>
      <c r="B78" s="1448"/>
      <c r="C78" s="1445"/>
      <c r="D78" s="1449" t="s">
        <v>2012</v>
      </c>
      <c r="E78" s="1447"/>
      <c r="F78" s="1788">
        <f>(F14-F77)</f>
        <v>5370916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537.20000000000005</v>
      </c>
      <c r="G79" s="733"/>
      <c r="H79" s="705"/>
      <c r="I79" s="705"/>
    </row>
    <row r="80" spans="1:9" s="728" customFormat="1" ht="12" customHeight="1" thickBot="1" x14ac:dyDescent="0.25">
      <c r="A80" s="1452"/>
      <c r="B80" s="1448"/>
      <c r="C80" s="1445"/>
      <c r="D80" s="1449" t="s">
        <v>2013</v>
      </c>
      <c r="E80" s="1447" t="s">
        <v>952</v>
      </c>
      <c r="F80" s="1790">
        <f>IF(F79&gt;0,F78/F79," Complete Line 79")</f>
        <v>9997.9821295606835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57062</v>
      </c>
      <c r="G95" s="745"/>
    </row>
    <row r="96" spans="1:7" x14ac:dyDescent="0.2">
      <c r="A96" s="741" t="s">
        <v>139</v>
      </c>
      <c r="B96" s="741" t="s">
        <v>174</v>
      </c>
      <c r="C96" s="743">
        <v>1700</v>
      </c>
      <c r="D96" s="751" t="str">
        <f>'Revenues 9-14'!A82</f>
        <v>Total District/School Activity Income</v>
      </c>
      <c r="E96" s="739"/>
      <c r="F96" s="1793">
        <f>SUM('Revenues 9-14'!C82,'Revenues 9-14'!D82)</f>
        <v>40015</v>
      </c>
      <c r="G96" s="745"/>
    </row>
    <row r="97" spans="1:7" x14ac:dyDescent="0.2">
      <c r="A97" s="741" t="s">
        <v>456</v>
      </c>
      <c r="B97" s="741" t="s">
        <v>175</v>
      </c>
      <c r="C97" s="743">
        <f>'Revenues 9-14'!B84</f>
        <v>1811</v>
      </c>
      <c r="D97" s="744" t="str">
        <f>'Revenues 9-14'!A84</f>
        <v>Rentals - Regular Textbooks</v>
      </c>
      <c r="E97" s="739"/>
      <c r="F97" s="1793">
        <f>'Revenues 9-14'!C84</f>
        <v>31032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8851</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2173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1251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5333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141962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58276</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132617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175196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22186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210140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18483</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44270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12892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394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6906</v>
      </c>
      <c r="G171" s="760"/>
    </row>
    <row r="172" spans="1:7" x14ac:dyDescent="0.2">
      <c r="A172" s="1529" t="s">
        <v>5</v>
      </c>
      <c r="B172" s="1530" t="s">
        <v>1885</v>
      </c>
      <c r="C172" s="1531">
        <v>3100</v>
      </c>
      <c r="D172" s="1532" t="s">
        <v>1887</v>
      </c>
      <c r="E172" s="739"/>
      <c r="F172" s="1794">
        <v>143024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1112063</v>
      </c>
    </row>
    <row r="176" spans="1:7" ht="12" customHeight="1" x14ac:dyDescent="0.2">
      <c r="A176" s="1443"/>
      <c r="B176" s="1453"/>
      <c r="C176" s="1454"/>
      <c r="D176" s="1455" t="s">
        <v>2014</v>
      </c>
      <c r="E176" s="1456"/>
      <c r="F176" s="1793">
        <f>'PCTC-OEPP 27-28'!F78-F175</f>
        <v>4258853</v>
      </c>
    </row>
    <row r="177" spans="1:9" ht="12" customHeight="1" x14ac:dyDescent="0.2">
      <c r="A177" s="1443"/>
      <c r="B177" s="1453"/>
      <c r="C177" s="1454"/>
      <c r="D177" s="1455" t="s">
        <v>1794</v>
      </c>
      <c r="E177" s="1456"/>
      <c r="F177" s="1793">
        <f>'Cap Outlay Deprec 26'!I18</f>
        <v>198680</v>
      </c>
    </row>
    <row r="178" spans="1:9" ht="12" customHeight="1" x14ac:dyDescent="0.2">
      <c r="A178" s="1443"/>
      <c r="B178" s="1453"/>
      <c r="C178" s="1454"/>
      <c r="D178" s="1455" t="s">
        <v>2015</v>
      </c>
      <c r="E178" s="1456"/>
      <c r="F178" s="1793">
        <f>F176+F177</f>
        <v>4457533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537.20000000000005</v>
      </c>
      <c r="G179" s="763"/>
      <c r="I179" s="701"/>
    </row>
    <row r="180" spans="1:9" ht="12" customHeight="1" thickBot="1" x14ac:dyDescent="0.25">
      <c r="A180" s="1443"/>
      <c r="B180" s="1457"/>
      <c r="C180" s="1454"/>
      <c r="D180" s="1455" t="s">
        <v>2017</v>
      </c>
      <c r="E180" s="1456" t="s">
        <v>1528</v>
      </c>
      <c r="F180" s="1798">
        <f>F178/F179</f>
        <v>8297.7159344750544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8" sqref="D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2075</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93107</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11520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3458230</v>
      </c>
      <c r="F19" s="1802"/>
      <c r="G19" s="1804">
        <f>'Expenditures 15-22'!K33-SUM('Expenditures 15-22'!G33,'Expenditures 15-22'!I33)+'Expenditures 15-22'!D229</f>
        <v>3458230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105539</v>
      </c>
      <c r="F21" s="1805"/>
      <c r="G21" s="1808">
        <f>'Expenditures 15-22'!K42-SUM('Expenditures 15-22'!G42,'Expenditures 15-22'!I42)+'Expenditures 15-22'!K120-SUM('Expenditures 15-22'!G120,'Expenditures 15-22'!I120)+'Expenditures 15-22'!K180-SUM('Expenditures 15-22'!G180,'Expenditures 15-22'!I180)+'Expenditures 15-22'!D238</f>
        <v>105539</v>
      </c>
      <c r="H21" s="817"/>
      <c r="I21" s="157"/>
    </row>
    <row r="22" spans="1:9" s="542" customFormat="1" ht="12" customHeight="1" x14ac:dyDescent="0.2">
      <c r="A22" s="824" t="s">
        <v>560</v>
      </c>
      <c r="B22" s="825"/>
      <c r="C22" s="823">
        <v>2200</v>
      </c>
      <c r="D22" s="1805"/>
      <c r="E22" s="1807">
        <f>'Expenditures 15-22'!K47-SUM('Expenditures 15-22'!G47,'Expenditures 15-22'!I47)+'Expenditures 15-22'!D243</f>
        <v>277556</v>
      </c>
      <c r="F22" s="1805"/>
      <c r="G22" s="1808">
        <f>'Expenditures 15-22'!K47-SUM('Expenditures 15-22'!G47,'Expenditures 15-22'!I47)+'Expenditures 15-22'!D243</f>
        <v>277556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414826</v>
      </c>
      <c r="F23" s="1805"/>
      <c r="G23" s="1807">
        <f>'Expenditures 15-22'!K53-SUM('Expenditures 15-22'!G53,'Expenditures 15-22'!I53)+'Expenditures 15-22'!D257+'Expenditures 15-22'!K330-SUM('Expenditures 15-22'!G330,'Expenditures 15-22'!I330)</f>
        <v>414826</v>
      </c>
      <c r="H23" s="817"/>
      <c r="I23" s="157"/>
    </row>
    <row r="24" spans="1:9" s="542" customFormat="1" ht="12" customHeight="1" x14ac:dyDescent="0.2">
      <c r="A24" s="824" t="s">
        <v>562</v>
      </c>
      <c r="B24" s="825"/>
      <c r="C24" s="823">
        <v>2400</v>
      </c>
      <c r="D24" s="1805"/>
      <c r="E24" s="1807">
        <f>'Expenditures 15-22'!K57-SUM('Expenditures 15-22'!G57,'Expenditures 15-22'!I57)+'Expenditures 15-22'!D261</f>
        <v>276072</v>
      </c>
      <c r="F24" s="1805"/>
      <c r="G24" s="1808">
        <f>'Expenditures 15-22'!K57-SUM('Expenditures 15-22'!G57,'Expenditures 15-22'!I57)+'Expenditures 15-22'!D261</f>
        <v>276072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69721</v>
      </c>
      <c r="E27" s="1807">
        <f>E8</f>
        <v>0</v>
      </c>
      <c r="F27" s="1807">
        <f>'Expenditures 15-22'!K60-SUM('Expenditures 15-22'!G60,'Expenditures 15-22'!I60)+'Expenditures 15-22'!D264-E8</f>
        <v>69721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428114</v>
      </c>
      <c r="F28" s="1809">
        <f>'Expenditures 15-22'!K61-SUM('Expenditures 15-22'!G61,'Expenditures 15-22'!I61)+'Expenditures 15-22'!K124-SUM('Expenditures 15-22'!G124,'Expenditures 15-22'!I124)+'Expenditures 15-22'!D266-E9</f>
        <v>428114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167867</v>
      </c>
      <c r="F29" s="1805"/>
      <c r="G29" s="1808">
        <f>'Expenditures 15-22'!K62-SUM('Expenditures 15-22'!G62,'Expenditures 15-22'!I62)+'Expenditures 15-22'!K125-SUM('Expenditures 15-22'!G125,'Expenditures 15-22'!I125)+'Expenditures 15-22'!K182-SUM('Expenditures 15-22'!G182,'Expenditures 15-22'!I182)+'Expenditures 15-22'!D267</f>
        <v>167867</v>
      </c>
      <c r="H29" s="815"/>
    </row>
    <row r="30" spans="1:9" ht="12" customHeight="1" x14ac:dyDescent="0.2">
      <c r="A30" s="824" t="s">
        <v>100</v>
      </c>
      <c r="B30" s="827"/>
      <c r="C30" s="823">
        <v>2560</v>
      </c>
      <c r="D30" s="1805"/>
      <c r="E30" s="1807">
        <f>'Expenditures 15-22'!K63-SUM('Expenditures 15-22'!G63,'Expenditures 15-22'!I63)+'Expenditures 15-22'!D268-E10</f>
        <v>154642</v>
      </c>
      <c r="F30" s="1805"/>
      <c r="G30" s="1807">
        <f>'Expenditures 15-22'!K63-SUM('Expenditures 15-22'!G63,'Expenditures 15-22'!I63)+'Expenditures 15-22'!D268-E10</f>
        <v>154642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73739</v>
      </c>
      <c r="F39" s="1805"/>
      <c r="G39" s="1807">
        <f>'Expenditures 15-22'!K75-SUM('Expenditures 15-22'!G75,'Expenditures 15-22'!I75)+'Expenditures 15-22'!K130-SUM('Expenditures 15-22'!G130,'Expenditures 15-22'!I130)+'Expenditures 15-22'!K185-SUM('Expenditures 15-22'!G185,'Expenditures 15-22'!I185)+'Expenditures 15-22'!D280</f>
        <v>73739</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69721</v>
      </c>
      <c r="E41" s="1809">
        <f>SUM(E19:E40)</f>
        <v>5356585</v>
      </c>
      <c r="F41" s="1809">
        <f>SUM(F19:F39)</f>
        <v>497835</v>
      </c>
      <c r="G41" s="1809">
        <f>SUM(G19:G40)</f>
        <v>4928471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69721</v>
      </c>
      <c r="F43" s="1458" t="s">
        <v>470</v>
      </c>
      <c r="G43" s="1810">
        <f>F41</f>
        <v>497835</v>
      </c>
    </row>
    <row r="44" spans="1:7" ht="12" customHeight="1" x14ac:dyDescent="0.2">
      <c r="A44" s="817"/>
      <c r="B44" s="157"/>
      <c r="C44" s="831"/>
      <c r="D44" s="1458" t="s">
        <v>471</v>
      </c>
      <c r="E44" s="1810">
        <f>E41</f>
        <v>5356585</v>
      </c>
      <c r="F44" s="1458" t="s">
        <v>471</v>
      </c>
      <c r="G44" s="1810">
        <f>G41</f>
        <v>4928471</v>
      </c>
    </row>
    <row r="45" spans="1:7" ht="12" customHeight="1" x14ac:dyDescent="0.2">
      <c r="A45" s="817"/>
      <c r="B45" s="157"/>
      <c r="C45" s="157"/>
      <c r="D45" s="1459" t="s">
        <v>999</v>
      </c>
      <c r="E45" s="1811">
        <f>(E43/E44)</f>
        <v>1.3015942060099858E-2</v>
      </c>
      <c r="F45" s="1459" t="s">
        <v>999</v>
      </c>
      <c r="G45" s="1811">
        <f>(G43/G44)</f>
        <v>0.10101205830368079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28" zoomScale="110" zoomScaleNormal="110" workbookViewId="0">
      <selection activeCell="D13" sqref="D1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Bunker Hill CUSD8</v>
      </c>
      <c r="D6" s="2415"/>
      <c r="E6" s="2415"/>
      <c r="F6" s="1482"/>
      <c r="G6" s="1507"/>
      <c r="L6" s="1507"/>
      <c r="M6" s="1855"/>
      <c r="N6" s="1855"/>
      <c r="O6" s="1855"/>
    </row>
    <row r="7" spans="1:15" ht="11.25" customHeight="1" thickBot="1" x14ac:dyDescent="0.3">
      <c r="A7" s="1480"/>
      <c r="B7" s="1481"/>
      <c r="C7" s="2416">
        <f>COVER!A13</f>
        <v>40056008026</v>
      </c>
      <c r="D7" s="2416"/>
      <c r="E7" s="2416"/>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N83"/>
  <sheetViews>
    <sheetView showGridLines="0" topLeftCell="A49" zoomScaleNormal="100" workbookViewId="0">
      <selection activeCell="I58" sqref="I58"/>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Bunker Hill CUSD8</v>
      </c>
      <c r="K6" s="2437"/>
      <c r="L6" s="2451"/>
      <c r="M6" s="838"/>
      <c r="N6" s="1999"/>
    </row>
    <row r="7" spans="1:14" x14ac:dyDescent="0.2">
      <c r="A7" s="2452" t="s">
        <v>864</v>
      </c>
      <c r="B7" s="2453"/>
      <c r="C7" s="2453"/>
      <c r="D7" s="2453"/>
      <c r="E7" s="2454"/>
      <c r="F7" s="839"/>
      <c r="G7" s="838"/>
      <c r="H7" s="838"/>
      <c r="I7" s="1925" t="s">
        <v>369</v>
      </c>
      <c r="J7" s="2439">
        <f>COVER!A13</f>
        <v>40056008026</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161830</v>
      </c>
      <c r="F12" s="1943"/>
      <c r="G12" s="1969">
        <f>G68</f>
        <v>0</v>
      </c>
      <c r="H12" s="1945">
        <f t="shared" ref="H12:H18" si="0">SUM(E12:G12)</f>
        <v>161830</v>
      </c>
      <c r="I12" s="1944">
        <v>115100</v>
      </c>
      <c r="J12" s="1943"/>
      <c r="K12" s="1944"/>
      <c r="L12" s="1945">
        <f t="shared" ref="L12:L18" si="1">SUM(I12:K12)</f>
        <v>115100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161830</v>
      </c>
      <c r="F19" s="1951">
        <f t="shared" si="2"/>
        <v>0</v>
      </c>
      <c r="G19" s="1951">
        <f t="shared" ref="G19" si="3">SUM(G12:G17)-G18</f>
        <v>0</v>
      </c>
      <c r="H19" s="1951">
        <f t="shared" si="2"/>
        <v>161830</v>
      </c>
      <c r="I19" s="1951">
        <f t="shared" si="2"/>
        <v>115100</v>
      </c>
      <c r="J19" s="1951">
        <f t="shared" si="2"/>
        <v>0</v>
      </c>
      <c r="K19" s="1951">
        <f t="shared" si="2"/>
        <v>0</v>
      </c>
      <c r="L19" s="1951">
        <f t="shared" si="2"/>
        <v>115100</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-0.28875980967682136</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Bunker Hill CUSD8</v>
      </c>
      <c r="M52" s="2437"/>
      <c r="N52" s="2438"/>
    </row>
    <row r="53" spans="1:14" x14ac:dyDescent="0.2">
      <c r="A53" s="1983"/>
      <c r="B53" s="1984"/>
      <c r="C53" s="1984"/>
      <c r="D53" s="1984"/>
      <c r="E53" s="1984"/>
      <c r="F53" s="1984"/>
      <c r="G53" s="1984"/>
      <c r="H53" s="1984"/>
      <c r="I53" s="1984"/>
      <c r="J53" s="1984"/>
      <c r="K53" s="1925" t="s">
        <v>369</v>
      </c>
      <c r="L53" s="2439">
        <f>J7</f>
        <v>40056008026</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201503</v>
      </c>
      <c r="F58" s="1973"/>
      <c r="G58" s="2032"/>
      <c r="H58" s="2033"/>
      <c r="I58" s="2033"/>
      <c r="J58" s="2033"/>
      <c r="K58" s="2033"/>
      <c r="L58" s="2033"/>
      <c r="M58" s="2033">
        <v>201503</v>
      </c>
      <c r="N58" s="1976">
        <f>IF((SUM(G58:M58))=E58,SUM(G58:M58),"Column N does not agree with Column E")</f>
        <v>201503</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201503</v>
      </c>
      <c r="F68" s="1974"/>
      <c r="G68" s="1975">
        <f t="shared" ref="G68:N68" si="5">SUM(G57:G67)</f>
        <v>0</v>
      </c>
      <c r="H68" s="1975">
        <f t="shared" si="5"/>
        <v>0</v>
      </c>
      <c r="I68" s="1975">
        <f t="shared" si="5"/>
        <v>0</v>
      </c>
      <c r="J68" s="1975">
        <f t="shared" si="5"/>
        <v>0</v>
      </c>
      <c r="K68" s="1975">
        <f t="shared" si="5"/>
        <v>0</v>
      </c>
      <c r="L68" s="1975">
        <f t="shared" si="5"/>
        <v>0</v>
      </c>
      <c r="M68" s="1975">
        <f t="shared" si="5"/>
        <v>201503</v>
      </c>
      <c r="N68" s="1989">
        <f t="shared" si="5"/>
        <v>201503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7" sqref="A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v>2</v>
      </c>
      <c r="B6" s="307" t="s">
        <v>2078</v>
      </c>
    </row>
    <row r="7" spans="1:2" x14ac:dyDescent="0.2">
      <c r="A7" s="847">
        <v>3</v>
      </c>
      <c r="B7" s="307" t="s">
        <v>2079</v>
      </c>
    </row>
    <row r="8" spans="1:2" x14ac:dyDescent="0.2">
      <c r="A8" s="847">
        <v>4</v>
      </c>
      <c r="B8" s="307" t="s">
        <v>2080</v>
      </c>
    </row>
    <row r="9" spans="1:2" x14ac:dyDescent="0.2">
      <c r="A9" s="848">
        <v>5</v>
      </c>
      <c r="B9" s="307" t="s">
        <v>2081</v>
      </c>
    </row>
    <row r="10" spans="1:2" x14ac:dyDescent="0.2">
      <c r="A10" s="848">
        <v>6</v>
      </c>
      <c r="B10" s="307" t="s">
        <v>2082</v>
      </c>
    </row>
    <row r="11" spans="1:2" x14ac:dyDescent="0.2">
      <c r="A11" s="848">
        <v>7</v>
      </c>
      <c r="B11" s="307" t="s">
        <v>2083</v>
      </c>
    </row>
    <row r="12" spans="1:2" x14ac:dyDescent="0.2">
      <c r="A12" s="848">
        <v>8</v>
      </c>
      <c r="B12" s="307" t="s">
        <v>2084</v>
      </c>
    </row>
    <row r="13" spans="1:2" x14ac:dyDescent="0.2">
      <c r="A13" s="848">
        <v>9</v>
      </c>
      <c r="B13" s="307" t="s">
        <v>2076</v>
      </c>
    </row>
    <row r="14" spans="1:2" x14ac:dyDescent="0.2">
      <c r="A14" s="848">
        <v>10</v>
      </c>
      <c r="B14" s="307" t="s">
        <v>2085</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Bunker Hill CUSD8</v>
      </c>
    </row>
    <row r="65" spans="2:2" x14ac:dyDescent="0.2">
      <c r="B65" s="849">
        <f>COVER!A13</f>
        <v>40056008026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9"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3"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5432117</v>
      </c>
      <c r="C8" s="1813">
        <f>'Acct Summary 7-8'!D8</f>
        <v>282944</v>
      </c>
      <c r="D8" s="1813">
        <f>'Acct Summary 7-8'!F8</f>
        <v>285166</v>
      </c>
      <c r="E8" s="1813">
        <f>'Acct Summary 7-8'!I8</f>
        <v>35250</v>
      </c>
      <c r="F8" s="1813">
        <f>SUM(B8:E8)</f>
        <v>6035477</v>
      </c>
    </row>
    <row r="9" spans="1:8" s="858" customFormat="1" ht="14.25" customHeight="1" thickBot="1" x14ac:dyDescent="0.25">
      <c r="A9" s="857" t="s">
        <v>1353</v>
      </c>
      <c r="B9" s="1814">
        <f>'Acct Summary 7-8'!C17</f>
        <v>5244489</v>
      </c>
      <c r="C9" s="1814">
        <f>'Acct Summary 7-8'!D17</f>
        <v>134560</v>
      </c>
      <c r="D9" s="1814">
        <f>'Acct Summary 7-8'!F17</f>
        <v>194547</v>
      </c>
      <c r="E9" s="1813"/>
      <c r="F9" s="1813">
        <f>SUM(B9:E9)</f>
        <v>5573596</v>
      </c>
    </row>
    <row r="10" spans="1:8" s="858" customFormat="1" ht="14.25" thickTop="1" thickBot="1" x14ac:dyDescent="0.25">
      <c r="A10" s="859" t="s">
        <v>1354</v>
      </c>
      <c r="B10" s="1815">
        <f>(B8-B9)</f>
        <v>187628</v>
      </c>
      <c r="C10" s="1815">
        <f>(C8-C9)</f>
        <v>148384</v>
      </c>
      <c r="D10" s="1815">
        <f>(D8-D9)</f>
        <v>90619</v>
      </c>
      <c r="E10" s="1814">
        <f>(E8-E9)</f>
        <v>35250</v>
      </c>
      <c r="F10" s="1816">
        <f>SUM(F8-F9)</f>
        <v>461881</v>
      </c>
    </row>
    <row r="11" spans="1:8" s="858" customFormat="1" ht="14.25" thickTop="1" thickBot="1" x14ac:dyDescent="0.25">
      <c r="A11" s="860" t="s">
        <v>1903</v>
      </c>
      <c r="B11" s="1817">
        <f>'Acct Summary 7-8'!C81</f>
        <v>1737421</v>
      </c>
      <c r="C11" s="1817">
        <f>'Acct Summary 7-8'!D81</f>
        <v>825262</v>
      </c>
      <c r="D11" s="1817">
        <f>'Acct Summary 7-8'!F81</f>
        <v>141342</v>
      </c>
      <c r="E11" s="1817">
        <f>'Acct Summary 7-8'!I81</f>
        <v>802971</v>
      </c>
      <c r="F11" s="1818">
        <f>SUM(B11:E11)</f>
        <v>3506996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40056008026</v>
      </c>
      <c r="E2" s="1542">
        <v>2020</v>
      </c>
      <c r="F2" s="1542">
        <v>1</v>
      </c>
      <c r="G2" s="1899">
        <v>101000300</v>
      </c>
    </row>
    <row r="3" spans="1:7" ht="15" x14ac:dyDescent="0.25">
      <c r="A3" t="s">
        <v>950</v>
      </c>
      <c r="B3" s="135" t="str">
        <f>COVER!A15</f>
        <v>MACOUPIN</v>
      </c>
      <c r="E3" s="1830" t="s">
        <v>1971</v>
      </c>
      <c r="F3" s="1830" t="s">
        <v>1970</v>
      </c>
      <c r="G3" s="1899">
        <v>101000400</v>
      </c>
    </row>
    <row r="4" spans="1:7" ht="15" x14ac:dyDescent="0.25">
      <c r="A4" t="s">
        <v>1000</v>
      </c>
      <c r="B4" s="135" t="str">
        <f>COVER!A17</f>
        <v>Bunker Hill CUSD8</v>
      </c>
      <c r="E4" s="1828">
        <v>44119</v>
      </c>
      <c r="F4" s="1829">
        <v>44151</v>
      </c>
      <c r="G4" s="1899">
        <v>101000600</v>
      </c>
    </row>
    <row r="5" spans="1:7" ht="15" x14ac:dyDescent="0.25">
      <c r="A5" t="s">
        <v>699</v>
      </c>
      <c r="B5" s="135" t="str">
        <f>COVER!A38</f>
        <v xml:space="preserve">TODD DUGAN </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MICHELLE MUELLER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066-004886</v>
      </c>
      <c r="G15" s="1899">
        <v>402100400</v>
      </c>
    </row>
    <row r="16" spans="1:7" ht="15" x14ac:dyDescent="0.25">
      <c r="A16" t="s">
        <v>419</v>
      </c>
      <c r="B16" s="135" t="str">
        <f>COVER!T13</f>
        <v>LOY MILLER TALLEY, PC</v>
      </c>
      <c r="G16" s="1899">
        <v>402100600</v>
      </c>
    </row>
    <row r="17" spans="1:7" ht="15" x14ac:dyDescent="0.25">
      <c r="A17" t="s">
        <v>878</v>
      </c>
      <c r="B17" s="135" t="str">
        <f>COVER!T15</f>
        <v>KENNETH E. LOY, C.P.A.</v>
      </c>
      <c r="G17" s="1899">
        <v>402100800</v>
      </c>
    </row>
    <row r="18" spans="1:7" ht="15" x14ac:dyDescent="0.25">
      <c r="A18" t="s">
        <v>1140</v>
      </c>
      <c r="B18" s="135" t="str">
        <f>COVER!T17</f>
        <v>#2 CROSSROADS CT</v>
      </c>
      <c r="G18" s="1899">
        <v>102200300</v>
      </c>
    </row>
    <row r="19" spans="1:7" ht="15" x14ac:dyDescent="0.25">
      <c r="A19" t="s">
        <v>880</v>
      </c>
      <c r="B19" s="135" t="str">
        <f>COVER!T25</f>
        <v>KEN@LMTCPAS.COM</v>
      </c>
      <c r="G19" s="1899">
        <v>102200400</v>
      </c>
    </row>
    <row r="20" spans="1:7" ht="15" x14ac:dyDescent="0.25">
      <c r="A20" t="s">
        <v>881</v>
      </c>
      <c r="B20" s="135" t="str">
        <f>COVER!T19</f>
        <v>ALTON</v>
      </c>
      <c r="G20" s="1899">
        <v>102200600</v>
      </c>
    </row>
    <row r="21" spans="1:7" ht="15" x14ac:dyDescent="0.25">
      <c r="A21" t="s">
        <v>476</v>
      </c>
      <c r="B21" s="135" t="str">
        <f>COVER!X19</f>
        <v>IL</v>
      </c>
      <c r="G21" s="1899">
        <v>102200800</v>
      </c>
    </row>
    <row r="22" spans="1:7" ht="15" x14ac:dyDescent="0.25">
      <c r="A22" t="s">
        <v>882</v>
      </c>
      <c r="B22" s="135">
        <f>COVER!Z19</f>
        <v>62002</v>
      </c>
      <c r="G22" s="1899">
        <v>102300300</v>
      </c>
    </row>
    <row r="23" spans="1:7" ht="15" x14ac:dyDescent="0.25">
      <c r="A23" t="s">
        <v>1142</v>
      </c>
      <c r="B23" s="135" t="str">
        <f>COVER!T21</f>
        <v>(618)465-1196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35065</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1737421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1737421</v>
      </c>
      <c r="D92" s="2" t="str">
        <f t="shared" si="0"/>
        <v>Error?</v>
      </c>
      <c r="G92" s="1899">
        <v>102640600</v>
      </c>
    </row>
    <row r="93" spans="1:7" ht="15" x14ac:dyDescent="0.25">
      <c r="A93" s="5">
        <v>32</v>
      </c>
      <c r="B93" s="1832">
        <f>'Assets-Liab 5-6'!C41</f>
        <v>1737421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825262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825262</v>
      </c>
      <c r="D123" s="2" t="str">
        <f t="shared" si="0"/>
        <v>Error?</v>
      </c>
      <c r="G123" s="1899">
        <v>203000400</v>
      </c>
    </row>
    <row r="124" spans="1:7" ht="15" x14ac:dyDescent="0.25">
      <c r="A124" s="5">
        <v>63</v>
      </c>
      <c r="B124" s="1832">
        <f>'Assets-Liab 5-6'!D41</f>
        <v>825262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100000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214300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214300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141342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141342</v>
      </c>
      <c r="D170" s="2" t="str">
        <f t="shared" si="1"/>
        <v>Error?</v>
      </c>
    </row>
    <row r="171" spans="1:4" x14ac:dyDescent="0.2">
      <c r="A171" s="5">
        <v>110</v>
      </c>
      <c r="B171" s="1832">
        <f>'Assets-Liab 5-6'!F41</f>
        <v>141342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450000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536319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536319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211371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211371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63426</v>
      </c>
      <c r="D273" s="2" t="str">
        <f t="shared" si="3"/>
        <v>Error?</v>
      </c>
    </row>
    <row r="274" spans="1:4" x14ac:dyDescent="0.2">
      <c r="A274" s="5">
        <v>213</v>
      </c>
      <c r="B274" s="1832">
        <f>'Assets-Liab 5-6'!M17</f>
        <v>8945692</v>
      </c>
      <c r="D274" s="2" t="str">
        <f t="shared" si="3"/>
        <v>Error?</v>
      </c>
    </row>
    <row r="275" spans="1:4" x14ac:dyDescent="0.2">
      <c r="A275" s="5">
        <v>214</v>
      </c>
      <c r="B275" s="1832">
        <f>'Assets-Liab 5-6'!M18</f>
        <v>38078</v>
      </c>
      <c r="D275" s="2" t="str">
        <f t="shared" si="3"/>
        <v>Error?</v>
      </c>
    </row>
    <row r="276" spans="1:4" x14ac:dyDescent="0.2">
      <c r="A276" s="5">
        <v>215</v>
      </c>
      <c r="B276" s="1832">
        <f>'Assets-Liab 5-6'!M19</f>
        <v>2432169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11479365</v>
      </c>
      <c r="C279" s="2" t="s">
        <v>569</v>
      </c>
      <c r="D279" s="2" t="str">
        <f t="shared" si="3"/>
        <v>Error?</v>
      </c>
    </row>
    <row r="280" spans="1:4" x14ac:dyDescent="0.2">
      <c r="A280" s="5">
        <v>219</v>
      </c>
      <c r="B280" s="1832">
        <f>'Assets-Liab 5-6'!M40</f>
        <v>11479365</v>
      </c>
      <c r="D280" s="2" t="str">
        <f t="shared" si="3"/>
        <v>Error?</v>
      </c>
    </row>
    <row r="281" spans="1:4" x14ac:dyDescent="0.2">
      <c r="A281" s="5">
        <v>220</v>
      </c>
      <c r="B281" s="1832">
        <f>'Assets-Liab 5-6'!M41</f>
        <v>11479365</v>
      </c>
      <c r="C281" s="2" t="s">
        <v>569</v>
      </c>
      <c r="D281" s="2" t="str">
        <f t="shared" si="3"/>
        <v>Error?</v>
      </c>
    </row>
    <row r="282" spans="1:4" x14ac:dyDescent="0.2">
      <c r="A282" s="5">
        <v>221</v>
      </c>
      <c r="B282" s="1832">
        <f>'Assets-Liab 5-6'!N21</f>
        <v>214300</v>
      </c>
      <c r="D282" s="2" t="str">
        <f t="shared" si="3"/>
        <v>Error?</v>
      </c>
    </row>
    <row r="283" spans="1:4" x14ac:dyDescent="0.2">
      <c r="A283" s="5">
        <v>222</v>
      </c>
      <c r="B283" s="1832">
        <f>'Assets-Liab 5-6'!N22</f>
        <v>1981617</v>
      </c>
      <c r="D283" s="2" t="str">
        <f t="shared" si="3"/>
        <v>Error?</v>
      </c>
    </row>
    <row r="284" spans="1:4" x14ac:dyDescent="0.2">
      <c r="A284" s="5">
        <v>223</v>
      </c>
      <c r="B284" s="1832">
        <f>'Assets-Liab 5-6'!N23</f>
        <v>2195917</v>
      </c>
      <c r="C284" s="2" t="s">
        <v>569</v>
      </c>
      <c r="D284" s="2" t="str">
        <f t="shared" si="3"/>
        <v>Error?</v>
      </c>
    </row>
    <row r="285" spans="1:4" x14ac:dyDescent="0.2">
      <c r="A285" s="5">
        <v>224</v>
      </c>
      <c r="B285" s="1832">
        <f>'Assets-Liab 5-6'!N36</f>
        <v>2195917</v>
      </c>
      <c r="D285" s="2" t="str">
        <f t="shared" si="3"/>
        <v>Error?</v>
      </c>
    </row>
    <row r="286" spans="1:4" x14ac:dyDescent="0.2">
      <c r="A286" s="10">
        <v>225</v>
      </c>
      <c r="B286" s="1832"/>
      <c r="D286" s="2" t="str">
        <f t="shared" si="3"/>
        <v>OK</v>
      </c>
    </row>
    <row r="287" spans="1:4" x14ac:dyDescent="0.2">
      <c r="A287" s="5">
        <v>226</v>
      </c>
      <c r="B287" s="1832">
        <f>'Assets-Liab 5-6'!N37</f>
        <v>2195917</v>
      </c>
      <c r="C287" s="2" t="s">
        <v>569</v>
      </c>
      <c r="D287" s="2" t="str">
        <f t="shared" si="3"/>
        <v>Error?</v>
      </c>
    </row>
    <row r="288" spans="1:4" x14ac:dyDescent="0.2">
      <c r="A288" s="5">
        <v>227</v>
      </c>
      <c r="B288" s="1832">
        <f>'Assets-Liab 5-6'!N41</f>
        <v>2195917</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2006627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92649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2584547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40689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43499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84188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59606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59606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125740</v>
      </c>
      <c r="D733" s="2" t="str">
        <f t="shared" si="10"/>
        <v>Error?</v>
      </c>
    </row>
    <row r="734" spans="1:4" x14ac:dyDescent="0.2">
      <c r="A734" s="5">
        <v>673</v>
      </c>
      <c r="B734" s="1832">
        <f>'Expenditures 15-22'!C53</f>
        <v>125740</v>
      </c>
      <c r="C734" s="2" t="s">
        <v>569</v>
      </c>
      <c r="D734" s="2" t="str">
        <f t="shared" si="10"/>
        <v>Error?</v>
      </c>
    </row>
    <row r="735" spans="1:4" x14ac:dyDescent="0.2">
      <c r="A735" s="5">
        <v>674</v>
      </c>
      <c r="B735" s="1832">
        <f>'Expenditures 15-22'!C55</f>
        <v>214002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214002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49076</v>
      </c>
      <c r="D739" s="2" t="str">
        <f t="shared" si="10"/>
        <v>Error?</v>
      </c>
    </row>
    <row r="740" spans="1:4" x14ac:dyDescent="0.2">
      <c r="A740" s="5">
        <v>679</v>
      </c>
      <c r="B740" s="1832">
        <f>'Expenditures 15-22'!C61</f>
        <v>137549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109054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295679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779215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3363762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398789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9163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502760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492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10438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10930</v>
      </c>
      <c r="C785" s="2" t="s">
        <v>569</v>
      </c>
      <c r="D785" s="2" t="str">
        <f t="shared" si="11"/>
        <v>Error?</v>
      </c>
    </row>
    <row r="786" spans="1:4" x14ac:dyDescent="0.2">
      <c r="A786" s="5">
        <v>725</v>
      </c>
      <c r="B786" s="1832">
        <f>'Expenditures 15-22'!D44</f>
        <v>665</v>
      </c>
      <c r="D786" s="2" t="str">
        <f t="shared" si="11"/>
        <v>Error?</v>
      </c>
    </row>
    <row r="787" spans="1:4" x14ac:dyDescent="0.2">
      <c r="A787" s="5">
        <v>726</v>
      </c>
      <c r="B787" s="1832">
        <f>'Expenditures 15-22'!D45</f>
        <v>12545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13210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20202</v>
      </c>
      <c r="D791" s="2" t="str">
        <f t="shared" si="11"/>
        <v>Error?</v>
      </c>
    </row>
    <row r="792" spans="1:4" x14ac:dyDescent="0.2">
      <c r="A792" s="5">
        <v>731</v>
      </c>
      <c r="B792" s="1832">
        <f>'Expenditures 15-22'!D53</f>
        <v>20202</v>
      </c>
      <c r="C792" s="2" t="s">
        <v>569</v>
      </c>
      <c r="D792" s="2" t="str">
        <f t="shared" si="11"/>
        <v>Error?</v>
      </c>
    </row>
    <row r="793" spans="1:4" x14ac:dyDescent="0.2">
      <c r="A793" s="5">
        <v>732</v>
      </c>
      <c r="B793" s="1832">
        <f>'Expenditures 15-22'!D55</f>
        <v>32944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32944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4812</v>
      </c>
      <c r="D797" s="2" t="str">
        <f t="shared" si="11"/>
        <v>Error?</v>
      </c>
    </row>
    <row r="798" spans="1:4" x14ac:dyDescent="0.2">
      <c r="A798" s="5">
        <v>737</v>
      </c>
      <c r="B798" s="1832">
        <f>'Expenditures 15-22'!D61</f>
        <v>12592</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10037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27441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104727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607487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29063</v>
      </c>
      <c r="D821" s="2" t="str">
        <f t="shared" si="11"/>
        <v>Error?</v>
      </c>
    </row>
    <row r="822" spans="1:4" x14ac:dyDescent="0.2">
      <c r="A822" s="5">
        <v>761</v>
      </c>
      <c r="B822" s="1832">
        <f>'Expenditures 15-22'!E16</f>
        <v>3343</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17936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50342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-65</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-65</v>
      </c>
      <c r="C843" s="2" t="s">
        <v>569</v>
      </c>
      <c r="D843" s="2" t="str">
        <f t="shared" si="12"/>
        <v>Error?</v>
      </c>
    </row>
    <row r="844" spans="1:4" x14ac:dyDescent="0.2">
      <c r="A844" s="5">
        <v>783</v>
      </c>
      <c r="B844" s="1832">
        <f>'Expenditures 15-22'!E44</f>
        <v>82709</v>
      </c>
      <c r="D844" s="2" t="str">
        <f t="shared" si="12"/>
        <v>Error?</v>
      </c>
    </row>
    <row r="845" spans="1:4" x14ac:dyDescent="0.2">
      <c r="A845" s="5">
        <v>784</v>
      </c>
      <c r="B845" s="1832">
        <f>'Expenditures 15-22'!E45</f>
        <v>71</v>
      </c>
      <c r="D845" s="2" t="str">
        <f t="shared" si="12"/>
        <v>Error?</v>
      </c>
    </row>
    <row r="846" spans="1:4" x14ac:dyDescent="0.2">
      <c r="A846" s="5">
        <v>785</v>
      </c>
      <c r="B846" s="1832">
        <f>'Expenditures 15-22'!E46</f>
        <v>5520</v>
      </c>
      <c r="D846" s="2" t="str">
        <f t="shared" si="12"/>
        <v>Error?</v>
      </c>
    </row>
    <row r="847" spans="1:4" x14ac:dyDescent="0.2">
      <c r="A847" s="5">
        <v>786</v>
      </c>
      <c r="B847" s="1832">
        <f>'Expenditures 15-22'!E47</f>
        <v>88300</v>
      </c>
      <c r="C847" s="2" t="s">
        <v>569</v>
      </c>
      <c r="D847" s="2" t="str">
        <f t="shared" si="12"/>
        <v>Error?</v>
      </c>
    </row>
    <row r="848" spans="1:4" x14ac:dyDescent="0.2">
      <c r="A848" s="5">
        <v>787</v>
      </c>
      <c r="B848" s="1832">
        <f>'Expenditures 15-22'!E49</f>
        <v>31851</v>
      </c>
      <c r="D848" s="2" t="str">
        <f t="shared" si="12"/>
        <v>Error?</v>
      </c>
    </row>
    <row r="849" spans="1:4" x14ac:dyDescent="0.2">
      <c r="A849" s="5">
        <v>788</v>
      </c>
      <c r="B849" s="1832">
        <f>'Expenditures 15-22'!E50</f>
        <v>11452</v>
      </c>
      <c r="D849" s="2" t="str">
        <f t="shared" si="12"/>
        <v>Error?</v>
      </c>
    </row>
    <row r="850" spans="1:4" x14ac:dyDescent="0.2">
      <c r="A850" s="5">
        <v>789</v>
      </c>
      <c r="B850" s="1832">
        <f>'Expenditures 15-22'!E53</f>
        <v>43303</v>
      </c>
      <c r="C850" s="2" t="s">
        <v>569</v>
      </c>
      <c r="D850" s="2" t="str">
        <f t="shared" si="12"/>
        <v>Error?</v>
      </c>
    </row>
    <row r="851" spans="1:4" x14ac:dyDescent="0.2">
      <c r="A851" s="5">
        <v>790</v>
      </c>
      <c r="B851" s="1832">
        <f>'Expenditures 15-22'!E55</f>
        <v>3560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3560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3085</v>
      </c>
      <c r="D855" s="2" t="str">
        <f t="shared" si="12"/>
        <v>Error?</v>
      </c>
    </row>
    <row r="856" spans="1:4" x14ac:dyDescent="0.2">
      <c r="A856" s="5">
        <v>795</v>
      </c>
      <c r="B856" s="1832">
        <f>'Expenditures 15-22'!E61</f>
        <v>46214</v>
      </c>
      <c r="D856" s="2" t="str">
        <f t="shared" si="12"/>
        <v>Error?</v>
      </c>
    </row>
    <row r="857" spans="1:4" x14ac:dyDescent="0.2">
      <c r="A857" s="5">
        <v>796</v>
      </c>
      <c r="B857" s="1832">
        <f>'Expenditures 15-22'!E62</f>
        <v>1719</v>
      </c>
      <c r="D857" s="2" t="str">
        <f t="shared" si="12"/>
        <v>Error?</v>
      </c>
    </row>
    <row r="858" spans="1:4" x14ac:dyDescent="0.2">
      <c r="A858" s="5">
        <v>797</v>
      </c>
      <c r="B858" s="1832">
        <f>'Expenditures 15-22'!E63</f>
        <v>9672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60690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195788</v>
      </c>
      <c r="C871" s="2" t="s">
        <v>569</v>
      </c>
      <c r="D871" s="2" t="str">
        <f t="shared" si="12"/>
        <v>Error?</v>
      </c>
    </row>
    <row r="872" spans="1:4" x14ac:dyDescent="0.2">
      <c r="A872" s="5">
        <v>811</v>
      </c>
      <c r="B872" s="1832">
        <f>'Expenditures 15-22'!E75</f>
        <v>71083</v>
      </c>
      <c r="D872" s="2" t="str">
        <f t="shared" si="12"/>
        <v>Error?</v>
      </c>
    </row>
    <row r="873" spans="1:4" x14ac:dyDescent="0.2">
      <c r="A873" s="5">
        <v>812</v>
      </c>
      <c r="B873" s="1832">
        <f>'Expenditures 15-22'!E114</f>
        <v>662583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112208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65293</v>
      </c>
      <c r="D891" s="2" t="str">
        <f t="shared" si="12"/>
        <v>Error?</v>
      </c>
    </row>
    <row r="892" spans="1:4" x14ac:dyDescent="0.2">
      <c r="A892" s="5">
        <v>831</v>
      </c>
      <c r="B892" s="1832">
        <f>'Expenditures 15-22'!F14</f>
        <v>15090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253707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1021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146</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1167</v>
      </c>
      <c r="C901" s="2" t="s">
        <v>569</v>
      </c>
      <c r="D901" s="2" t="str">
        <f t="shared" si="13"/>
        <v>Error?</v>
      </c>
    </row>
    <row r="902" spans="1:4" x14ac:dyDescent="0.2">
      <c r="A902" s="5">
        <v>841</v>
      </c>
      <c r="B902" s="1832">
        <f>'Expenditures 15-22'!F44</f>
        <v>90292</v>
      </c>
      <c r="D902" s="2" t="str">
        <f t="shared" si="13"/>
        <v>Error?</v>
      </c>
    </row>
    <row r="903" spans="1:4" x14ac:dyDescent="0.2">
      <c r="A903" s="5">
        <v>842</v>
      </c>
      <c r="B903" s="1832">
        <f>'Expenditures 15-22'!F45</f>
        <v>3977</v>
      </c>
      <c r="D903" s="2" t="str">
        <f t="shared" si="13"/>
        <v>Error?</v>
      </c>
    </row>
    <row r="904" spans="1:4" x14ac:dyDescent="0.2">
      <c r="A904" s="5">
        <v>843</v>
      </c>
      <c r="B904" s="1832">
        <f>'Expenditures 15-22'!F46</f>
        <v>12530</v>
      </c>
      <c r="D904" s="2" t="str">
        <f t="shared" si="13"/>
        <v>Error?</v>
      </c>
    </row>
    <row r="905" spans="1:4" x14ac:dyDescent="0.2">
      <c r="A905" s="5">
        <v>844</v>
      </c>
      <c r="B905" s="1832">
        <f>'Expenditures 15-22'!F47</f>
        <v>106799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1092</v>
      </c>
      <c r="D907" s="2" t="str">
        <f t="shared" si="13"/>
        <v>Error?</v>
      </c>
    </row>
    <row r="908" spans="1:4" x14ac:dyDescent="0.2">
      <c r="A908" s="5">
        <v>847</v>
      </c>
      <c r="B908" s="1832">
        <f>'Expenditures 15-22'!F53</f>
        <v>1092</v>
      </c>
      <c r="C908" s="2" t="s">
        <v>569</v>
      </c>
      <c r="D908" s="2" t="str">
        <f t="shared" si="13"/>
        <v>Error?</v>
      </c>
    </row>
    <row r="909" spans="1:4" x14ac:dyDescent="0.2">
      <c r="A909" s="5">
        <v>848</v>
      </c>
      <c r="B909" s="1832">
        <f>'Expenditures 15-22'!F55</f>
        <v>8072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8072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1660</v>
      </c>
      <c r="D913" s="2" t="str">
        <f t="shared" si="13"/>
        <v>Error?</v>
      </c>
    </row>
    <row r="914" spans="1:4" x14ac:dyDescent="0.2">
      <c r="A914" s="5">
        <v>853</v>
      </c>
      <c r="B914" s="1832">
        <f>'Expenditures 15-22'!F61</f>
        <v>77765</v>
      </c>
      <c r="D914" s="2" t="str">
        <f t="shared" si="13"/>
        <v>Error?</v>
      </c>
    </row>
    <row r="915" spans="1:4" x14ac:dyDescent="0.2">
      <c r="A915" s="5">
        <v>854</v>
      </c>
      <c r="B915" s="1832">
        <f>'Expenditures 15-22'!F62</f>
        <v>41</v>
      </c>
      <c r="D915" s="2" t="str">
        <f t="shared" si="13"/>
        <v>Error?</v>
      </c>
    </row>
    <row r="916" spans="1:4" x14ac:dyDescent="0.2">
      <c r="A916" s="5">
        <v>855</v>
      </c>
      <c r="B916" s="1832">
        <f>'Expenditures 15-22'!F63</f>
        <v>96604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176070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293200</v>
      </c>
      <c r="C929" s="2" t="s">
        <v>569</v>
      </c>
      <c r="D929" s="2" t="str">
        <f t="shared" si="13"/>
        <v>Error?</v>
      </c>
    </row>
    <row r="930" spans="1:4" x14ac:dyDescent="0.2">
      <c r="A930" s="5">
        <v>869</v>
      </c>
      <c r="B930" s="1832">
        <f>'Expenditures 15-22'!F75</f>
        <v>1352</v>
      </c>
      <c r="D930" s="2" t="str">
        <f t="shared" si="13"/>
        <v>Error?</v>
      </c>
    </row>
    <row r="931" spans="1:4" x14ac:dyDescent="0.2">
      <c r="A931" s="5">
        <v>870</v>
      </c>
      <c r="B931" s="1832">
        <f>'Expenditures 15-22'!F114</f>
        <v>548259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14645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14645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7994</v>
      </c>
      <c r="D960" s="2" t="str">
        <f t="shared" si="14"/>
        <v>Error?</v>
      </c>
    </row>
    <row r="961" spans="1:4" x14ac:dyDescent="0.2">
      <c r="A961" s="5">
        <v>900</v>
      </c>
      <c r="B961" s="1832">
        <f>'Expenditures 15-22'!G45</f>
        <v>13306</v>
      </c>
      <c r="D961" s="2" t="str">
        <f t="shared" si="14"/>
        <v>Error?</v>
      </c>
    </row>
    <row r="962" spans="1:4" x14ac:dyDescent="0.2">
      <c r="A962" s="5">
        <v>901</v>
      </c>
      <c r="B962" s="1832">
        <f>'Expenditures 15-22'!G46</f>
        <v>2993</v>
      </c>
      <c r="D962" s="2" t="str">
        <f t="shared" si="14"/>
        <v>Error?</v>
      </c>
    </row>
    <row r="963" spans="1:4" x14ac:dyDescent="0.2">
      <c r="A963" s="5">
        <v>902</v>
      </c>
      <c r="B963" s="1832">
        <f>'Expenditures 15-22'!G47</f>
        <v>24293</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24293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38938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1275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4504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5779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8777</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8777</v>
      </c>
      <c r="C1021" s="2" t="s">
        <v>569</v>
      </c>
      <c r="D1021" s="2" t="str">
        <f t="shared" si="14"/>
        <v>Error?</v>
      </c>
    </row>
    <row r="1022" spans="1:4" x14ac:dyDescent="0.2">
      <c r="A1022" s="5">
        <v>961</v>
      </c>
      <c r="B1022" s="1832">
        <f>'Expenditures 15-22'!H49</f>
        <v>5022</v>
      </c>
      <c r="D1022" s="2" t="str">
        <f t="shared" si="14"/>
        <v>Error?</v>
      </c>
    </row>
    <row r="1023" spans="1:4" x14ac:dyDescent="0.2">
      <c r="A1023" s="5">
        <v>962</v>
      </c>
      <c r="B1023" s="1832">
        <f>'Expenditures 15-22'!H50</f>
        <v>3344</v>
      </c>
      <c r="D1023" s="2" t="str">
        <f t="shared" ref="D1023:D1086" si="15">IF(ISBLANK(B1023),"OK",IF(A1023-B1023=0,"OK","Error?"))</f>
        <v>Error?</v>
      </c>
    </row>
    <row r="1024" spans="1:4" x14ac:dyDescent="0.2">
      <c r="A1024" s="5">
        <v>963</v>
      </c>
      <c r="B1024" s="1832">
        <f>'Expenditures 15-22'!H53</f>
        <v>8366</v>
      </c>
      <c r="C1024" s="2" t="s">
        <v>569</v>
      </c>
      <c r="D1024" s="2" t="str">
        <f t="shared" si="15"/>
        <v>Error?</v>
      </c>
    </row>
    <row r="1025" spans="1:4" x14ac:dyDescent="0.2">
      <c r="A1025" s="5">
        <v>964</v>
      </c>
      <c r="B1025" s="1832">
        <f>'Expenditures 15-22'!H55</f>
        <v>538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538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17681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23460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2562607</v>
      </c>
      <c r="C1093" s="2" t="s">
        <v>569</v>
      </c>
      <c r="D1093" s="2" t="str">
        <f t="shared" si="16"/>
        <v>Error?</v>
      </c>
    </row>
    <row r="1094" spans="1:4" x14ac:dyDescent="0.2">
      <c r="A1094" s="5">
        <v>1033</v>
      </c>
      <c r="B1094" s="1832">
        <f>'Expenditures 15-22'!K16</f>
        <v>3343</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65293</v>
      </c>
      <c r="C1105" s="2" t="s">
        <v>569</v>
      </c>
      <c r="D1105" s="2" t="str">
        <f t="shared" si="16"/>
        <v>Error?</v>
      </c>
    </row>
    <row r="1106" spans="1:4" x14ac:dyDescent="0.2">
      <c r="A1106" s="5">
        <v>1045</v>
      </c>
      <c r="B1106" s="1832">
        <f>'Expenditures 15-22'!K14</f>
        <v>139342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3411780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-65</v>
      </c>
      <c r="C1110" s="2" t="s">
        <v>569</v>
      </c>
      <c r="D1110" s="2" t="str">
        <f t="shared" si="16"/>
        <v>Error?</v>
      </c>
    </row>
    <row r="1111" spans="1:4" x14ac:dyDescent="0.2">
      <c r="A1111" s="5">
        <v>1050</v>
      </c>
      <c r="B1111" s="1832">
        <f>'Expenditures 15-22'!K38</f>
        <v>42202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54083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96220</v>
      </c>
      <c r="C1115" s="2" t="s">
        <v>569</v>
      </c>
      <c r="D1115" s="2" t="str">
        <f t="shared" si="16"/>
        <v>Error?</v>
      </c>
    </row>
    <row r="1116" spans="1:4" x14ac:dyDescent="0.2">
      <c r="A1116" s="5">
        <v>1055</v>
      </c>
      <c r="B1116" s="1832">
        <f>'Expenditures 15-22'!K44</f>
        <v>181660</v>
      </c>
      <c r="C1116" s="2" t="s">
        <v>569</v>
      </c>
      <c r="D1116" s="2" t="str">
        <f t="shared" si="16"/>
        <v>Error?</v>
      </c>
    </row>
    <row r="1117" spans="1:4" x14ac:dyDescent="0.2">
      <c r="A1117" s="5">
        <v>1056</v>
      </c>
      <c r="B1117" s="1832">
        <f>'Expenditures 15-22'!K45</f>
        <v>98282</v>
      </c>
      <c r="C1117" s="2" t="s">
        <v>569</v>
      </c>
      <c r="D1117" s="2" t="str">
        <f t="shared" si="16"/>
        <v>Error?</v>
      </c>
    </row>
    <row r="1118" spans="1:4" x14ac:dyDescent="0.2">
      <c r="A1118" s="5">
        <v>1057</v>
      </c>
      <c r="B1118" s="1832">
        <f>'Expenditures 15-22'!K46</f>
        <v>21043</v>
      </c>
      <c r="C1118" s="2" t="s">
        <v>569</v>
      </c>
      <c r="D1118" s="2" t="str">
        <f t="shared" si="16"/>
        <v>Error?</v>
      </c>
    </row>
    <row r="1119" spans="1:4" x14ac:dyDescent="0.2">
      <c r="A1119" s="5">
        <v>1058</v>
      </c>
      <c r="B1119" s="1832">
        <f>'Expenditures 15-22'!K47</f>
        <v>300985</v>
      </c>
      <c r="C1119" s="2" t="s">
        <v>569</v>
      </c>
      <c r="D1119" s="2" t="str">
        <f t="shared" si="16"/>
        <v>Error?</v>
      </c>
    </row>
    <row r="1120" spans="1:4" x14ac:dyDescent="0.2">
      <c r="A1120" s="5">
        <v>1059</v>
      </c>
      <c r="B1120" s="1832">
        <f>'Expenditures 15-22'!K49</f>
        <v>36873</v>
      </c>
      <c r="C1120" s="2" t="s">
        <v>569</v>
      </c>
      <c r="D1120" s="2" t="str">
        <f t="shared" si="16"/>
        <v>Error?</v>
      </c>
    </row>
    <row r="1121" spans="1:4" x14ac:dyDescent="0.2">
      <c r="A1121" s="5">
        <v>1060</v>
      </c>
      <c r="B1121" s="1832">
        <f>'Expenditures 15-22'!K50</f>
        <v>161830</v>
      </c>
      <c r="C1121" s="2" t="s">
        <v>569</v>
      </c>
      <c r="D1121" s="2" t="str">
        <f t="shared" si="16"/>
        <v>Error?</v>
      </c>
    </row>
    <row r="1122" spans="1:4" x14ac:dyDescent="0.2">
      <c r="A1122" s="5">
        <v>1061</v>
      </c>
      <c r="B1122" s="1832">
        <f>'Expenditures 15-22'!K53</f>
        <v>198703</v>
      </c>
      <c r="C1122" s="2" t="s">
        <v>569</v>
      </c>
      <c r="D1122" s="2" t="str">
        <f t="shared" si="16"/>
        <v>Error?</v>
      </c>
    </row>
    <row r="1123" spans="1:4" x14ac:dyDescent="0.2">
      <c r="A1123" s="5">
        <v>1062</v>
      </c>
      <c r="B1123" s="1832">
        <f>'Expenditures 15-22'!K55</f>
        <v>259116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259116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58633</v>
      </c>
      <c r="C1127" s="2" t="s">
        <v>569</v>
      </c>
      <c r="D1127" s="2" t="str">
        <f t="shared" si="16"/>
        <v>Error?</v>
      </c>
    </row>
    <row r="1128" spans="1:4" x14ac:dyDescent="0.2">
      <c r="A1128" s="5">
        <v>1067</v>
      </c>
      <c r="B1128" s="1832">
        <f>'Expenditures 15-22'!K61</f>
        <v>274120</v>
      </c>
      <c r="C1128" s="2" t="s">
        <v>569</v>
      </c>
      <c r="D1128" s="2" t="str">
        <f t="shared" si="16"/>
        <v>Error?</v>
      </c>
    </row>
    <row r="1129" spans="1:4" x14ac:dyDescent="0.2">
      <c r="A1129" s="5">
        <v>1068</v>
      </c>
      <c r="B1129" s="1832">
        <f>'Expenditures 15-22'!K62</f>
        <v>1760</v>
      </c>
      <c r="C1129" s="2" t="s">
        <v>569</v>
      </c>
      <c r="D1129" s="2" t="str">
        <f t="shared" si="16"/>
        <v>Error?</v>
      </c>
    </row>
    <row r="1130" spans="1:4" x14ac:dyDescent="0.2">
      <c r="A1130" s="5">
        <v>1069</v>
      </c>
      <c r="B1130" s="1832">
        <f>'Expenditures 15-22'!K63</f>
        <v>225367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559880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1414904</v>
      </c>
      <c r="C1143" s="2" t="s">
        <v>569</v>
      </c>
      <c r="D1143" s="2" t="str">
        <f t="shared" si="16"/>
        <v>Error?</v>
      </c>
    </row>
    <row r="1144" spans="1:4" x14ac:dyDescent="0.2">
      <c r="A1144" s="5">
        <v>1083</v>
      </c>
      <c r="B1144" s="1832">
        <f>'Expenditures 15-22'!K75</f>
        <v>72435</v>
      </c>
      <c r="C1144" s="2" t="s">
        <v>569</v>
      </c>
      <c r="D1144" s="2" t="str">
        <f t="shared" si="16"/>
        <v>Error?</v>
      </c>
    </row>
    <row r="1145" spans="1:4" x14ac:dyDescent="0.2">
      <c r="A1145" s="5">
        <v>1084</v>
      </c>
      <c r="B1145" s="1832">
        <f>'Expenditures 15-22'!K102</f>
        <v>345370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5244489</v>
      </c>
      <c r="C1152" s="2" t="s">
        <v>569</v>
      </c>
      <c r="D1152" s="2" t="str">
        <f t="shared" si="17"/>
        <v>Error?</v>
      </c>
    </row>
    <row r="1153" spans="1:4" x14ac:dyDescent="0.2">
      <c r="A1153" s="5">
        <v>1092</v>
      </c>
      <c r="B1153" s="1832">
        <f>'Expenditures 15-22'!K115</f>
        <v>187628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55023</v>
      </c>
      <c r="D1221" s="2" t="str">
        <f t="shared" si="18"/>
        <v>Error?</v>
      </c>
    </row>
    <row r="1222" spans="1:4" x14ac:dyDescent="0.2">
      <c r="A1222" s="10">
        <v>1161</v>
      </c>
      <c r="B1222" s="1832"/>
      <c r="D1222" s="2" t="str">
        <f t="shared" si="18"/>
        <v>OK</v>
      </c>
    </row>
    <row r="1223" spans="1:4" x14ac:dyDescent="0.2">
      <c r="A1223" s="5">
        <v>1162</v>
      </c>
      <c r="B1223" s="1832">
        <f>'Expenditures 15-22'!C127</f>
        <v>55023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55023</v>
      </c>
      <c r="C1225" s="2" t="s">
        <v>569</v>
      </c>
      <c r="D1225" s="2" t="str">
        <f t="shared" si="18"/>
        <v>Error?</v>
      </c>
    </row>
    <row r="1226" spans="1:4" x14ac:dyDescent="0.2">
      <c r="A1226" s="5">
        <v>1165</v>
      </c>
      <c r="B1226" s="1832">
        <f>'Expenditures 15-22'!C151</f>
        <v>55023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5775</v>
      </c>
      <c r="D1229" s="2" t="str">
        <f t="shared" si="18"/>
        <v>Error?</v>
      </c>
    </row>
    <row r="1230" spans="1:4" x14ac:dyDescent="0.2">
      <c r="A1230" s="10">
        <v>1169</v>
      </c>
      <c r="B1230" s="1832"/>
      <c r="D1230" s="2" t="str">
        <f t="shared" si="18"/>
        <v>OK</v>
      </c>
    </row>
    <row r="1231" spans="1:4" x14ac:dyDescent="0.2">
      <c r="A1231" s="5">
        <v>1170</v>
      </c>
      <c r="B1231" s="1832">
        <f>'Expenditures 15-22'!D127</f>
        <v>5775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5775</v>
      </c>
      <c r="C1233" s="2" t="s">
        <v>569</v>
      </c>
      <c r="D1233" s="2" t="str">
        <f t="shared" si="18"/>
        <v>Error?</v>
      </c>
    </row>
    <row r="1234" spans="1:4" x14ac:dyDescent="0.2">
      <c r="A1234" s="5">
        <v>1173</v>
      </c>
      <c r="B1234" s="1832">
        <f>'Expenditures 15-22'!D151</f>
        <v>5775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10155</v>
      </c>
      <c r="D1236" s="2" t="str">
        <f t="shared" si="18"/>
        <v>Error?</v>
      </c>
    </row>
    <row r="1237" spans="1:4" x14ac:dyDescent="0.2">
      <c r="A1237" s="5">
        <v>1176</v>
      </c>
      <c r="B1237" s="1832">
        <f>'Expenditures 15-22'!E124</f>
        <v>19604</v>
      </c>
      <c r="D1237" s="2" t="str">
        <f t="shared" si="18"/>
        <v>Error?</v>
      </c>
    </row>
    <row r="1238" spans="1:4" x14ac:dyDescent="0.2">
      <c r="A1238" s="10">
        <v>1177</v>
      </c>
      <c r="B1238" s="1832"/>
      <c r="D1238" s="2" t="str">
        <f t="shared" si="18"/>
        <v>OK</v>
      </c>
    </row>
    <row r="1239" spans="1:4" x14ac:dyDescent="0.2">
      <c r="A1239" s="5">
        <v>1178</v>
      </c>
      <c r="B1239" s="1832">
        <f>'Expenditures 15-22'!E127</f>
        <v>29759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29759</v>
      </c>
      <c r="C1241" s="2" t="s">
        <v>569</v>
      </c>
      <c r="D1241" s="2" t="str">
        <f t="shared" si="18"/>
        <v>Error?</v>
      </c>
    </row>
    <row r="1242" spans="1:4" x14ac:dyDescent="0.2">
      <c r="A1242" s="5">
        <v>1181</v>
      </c>
      <c r="B1242" s="1832">
        <f>'Expenditures 15-22'!E151</f>
        <v>29759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33894</v>
      </c>
      <c r="D1245" s="2" t="str">
        <f t="shared" si="18"/>
        <v>Error?</v>
      </c>
    </row>
    <row r="1246" spans="1:4" x14ac:dyDescent="0.2">
      <c r="A1246" s="10">
        <v>1185</v>
      </c>
      <c r="B1246" s="1832"/>
      <c r="D1246" s="2" t="str">
        <f t="shared" si="18"/>
        <v>OK</v>
      </c>
    </row>
    <row r="1247" spans="1:4" x14ac:dyDescent="0.2">
      <c r="A1247" s="5">
        <v>1186</v>
      </c>
      <c r="B1247" s="1832">
        <f>'Expenditures 15-22'!F127</f>
        <v>33894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33894</v>
      </c>
      <c r="C1249" s="2" t="s">
        <v>569</v>
      </c>
      <c r="D1249" s="2" t="str">
        <f t="shared" si="18"/>
        <v>Error?</v>
      </c>
    </row>
    <row r="1250" spans="1:4" x14ac:dyDescent="0.2">
      <c r="A1250" s="5">
        <v>1189</v>
      </c>
      <c r="B1250" s="1832">
        <f>'Expenditures 15-22'!F151</f>
        <v>33894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4200</v>
      </c>
      <c r="D1252" s="2" t="str">
        <f t="shared" si="18"/>
        <v>Error?</v>
      </c>
    </row>
    <row r="1253" spans="1:4" x14ac:dyDescent="0.2">
      <c r="A1253" s="5">
        <v>1192</v>
      </c>
      <c r="B1253" s="1832">
        <f>'Expenditures 15-22'!G124</f>
        <v>5909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10109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10109</v>
      </c>
      <c r="C1258" s="2" t="s">
        <v>569</v>
      </c>
      <c r="D1258" s="2" t="str">
        <f t="shared" si="18"/>
        <v>Error?</v>
      </c>
    </row>
    <row r="1259" spans="1:4" x14ac:dyDescent="0.2">
      <c r="A1259" s="5">
        <v>1198</v>
      </c>
      <c r="B1259" s="1832">
        <f>'Expenditures 15-22'!G151</f>
        <v>10109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14355</v>
      </c>
      <c r="C1275" s="2" t="s">
        <v>569</v>
      </c>
      <c r="D1275" s="2" t="str">
        <f t="shared" si="18"/>
        <v>Error?</v>
      </c>
    </row>
    <row r="1276" spans="1:4" x14ac:dyDescent="0.2">
      <c r="A1276" s="5">
        <v>1215</v>
      </c>
      <c r="B1276" s="1832">
        <f>'Expenditures 15-22'!K124</f>
        <v>120205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134560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134560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134560</v>
      </c>
      <c r="C1288" s="2" t="s">
        <v>569</v>
      </c>
      <c r="D1288" s="2" t="str">
        <f t="shared" si="19"/>
        <v>Error?</v>
      </c>
    </row>
    <row r="1289" spans="1:4" x14ac:dyDescent="0.2">
      <c r="A1289" s="5">
        <v>1228</v>
      </c>
      <c r="B1289" s="1832">
        <f>'Expenditures 15-22'!K152</f>
        <v>148384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150</v>
      </c>
      <c r="D1307" s="2" t="str">
        <f t="shared" si="19"/>
        <v>Error?</v>
      </c>
    </row>
    <row r="1308" spans="1:4" x14ac:dyDescent="0.2">
      <c r="A1308" s="5">
        <v>1247</v>
      </c>
      <c r="B1308" s="1832">
        <f>'Expenditures 15-22'!E172</f>
        <v>150</v>
      </c>
      <c r="C1308" s="2" t="s">
        <v>569</v>
      </c>
      <c r="D1308" s="2" t="str">
        <f t="shared" si="19"/>
        <v>Error?</v>
      </c>
    </row>
    <row r="1309" spans="1:4" x14ac:dyDescent="0.2">
      <c r="A1309" s="5">
        <v>1248</v>
      </c>
      <c r="B1309" s="1832">
        <f>'Expenditures 15-22'!E174</f>
        <v>150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68605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109000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177605</v>
      </c>
      <c r="C1317" s="2" t="s">
        <v>569</v>
      </c>
      <c r="D1317" s="2" t="str">
        <f t="shared" si="19"/>
        <v>Error?</v>
      </c>
    </row>
    <row r="1318" spans="1:4" x14ac:dyDescent="0.2">
      <c r="A1318" s="5">
        <v>1257</v>
      </c>
      <c r="B1318" s="1832">
        <f>'Expenditures 15-22'!H174</f>
        <v>177605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68605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109000</v>
      </c>
      <c r="C1329" s="2" t="s">
        <v>569</v>
      </c>
      <c r="D1329" s="2" t="str">
        <f t="shared" si="19"/>
        <v>Error?</v>
      </c>
    </row>
    <row r="1330" spans="1:4" x14ac:dyDescent="0.2">
      <c r="A1330" s="5">
        <v>1269</v>
      </c>
      <c r="B1330" s="1832">
        <f>'Expenditures 15-22'!K171</f>
        <v>150</v>
      </c>
      <c r="C1330" s="2" t="s">
        <v>569</v>
      </c>
      <c r="D1330" s="2" t="str">
        <f t="shared" si="19"/>
        <v>Error?</v>
      </c>
    </row>
    <row r="1331" spans="1:4" x14ac:dyDescent="0.2">
      <c r="A1331" s="5">
        <v>1270</v>
      </c>
      <c r="B1331" s="1832">
        <f>'Expenditures 15-22'!K172</f>
        <v>177755</v>
      </c>
      <c r="C1331" s="2" t="s">
        <v>569</v>
      </c>
      <c r="D1331" s="2" t="str">
        <f t="shared" si="19"/>
        <v>Error?</v>
      </c>
    </row>
    <row r="1332" spans="1:4" x14ac:dyDescent="0.2">
      <c r="A1332" s="5">
        <v>1271</v>
      </c>
      <c r="B1332" s="1832">
        <f>'Expenditures 15-22'!K174</f>
        <v>177755</v>
      </c>
      <c r="C1332" s="2" t="s">
        <v>569</v>
      </c>
      <c r="D1332" s="2" t="str">
        <f t="shared" si="19"/>
        <v>Error?</v>
      </c>
    </row>
    <row r="1333" spans="1:4" x14ac:dyDescent="0.2">
      <c r="A1333" s="5">
        <v>1272</v>
      </c>
      <c r="B1333" s="1832">
        <f>'Expenditures 15-22'!K175</f>
        <v>-151009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96407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96407</v>
      </c>
      <c r="C1339" s="2" t="s">
        <v>569</v>
      </c>
      <c r="D1339" s="2" t="str">
        <f t="shared" si="19"/>
        <v>Error?</v>
      </c>
    </row>
    <row r="1340" spans="1:4" x14ac:dyDescent="0.2">
      <c r="A1340" s="5">
        <v>1279</v>
      </c>
      <c r="B1340" s="1832">
        <f>'Expenditures 15-22'!C210</f>
        <v>96407</v>
      </c>
      <c r="C1340" s="2" t="s">
        <v>569</v>
      </c>
      <c r="D1340" s="2" t="str">
        <f t="shared" si="19"/>
        <v>Error?</v>
      </c>
    </row>
    <row r="1341" spans="1:4" x14ac:dyDescent="0.2">
      <c r="A1341" s="5">
        <v>1280</v>
      </c>
      <c r="B1341" s="1832">
        <f>'Expenditures 15-22'!D182</f>
        <v>7580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7580</v>
      </c>
      <c r="C1345" s="2" t="s">
        <v>569</v>
      </c>
      <c r="D1345" s="2" t="str">
        <f t="shared" si="20"/>
        <v>Error?</v>
      </c>
    </row>
    <row r="1346" spans="1:4" x14ac:dyDescent="0.2">
      <c r="A1346" s="5">
        <v>1285</v>
      </c>
      <c r="B1346" s="1832">
        <f>'Expenditures 15-22'!D210</f>
        <v>7580</v>
      </c>
      <c r="C1346" s="2" t="s">
        <v>569</v>
      </c>
      <c r="D1346" s="2" t="str">
        <f t="shared" si="20"/>
        <v>Error?</v>
      </c>
    </row>
    <row r="1347" spans="1:4" x14ac:dyDescent="0.2">
      <c r="A1347" s="5">
        <v>1286</v>
      </c>
      <c r="B1347" s="1832">
        <f>'Expenditures 15-22'!E182</f>
        <v>19103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19103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20407</v>
      </c>
      <c r="C1353" s="2" t="s">
        <v>569</v>
      </c>
      <c r="D1353" s="2" t="str">
        <f t="shared" si="20"/>
        <v>Error?</v>
      </c>
    </row>
    <row r="1354" spans="1:4" x14ac:dyDescent="0.2">
      <c r="A1354" s="5">
        <v>1293</v>
      </c>
      <c r="B1354" s="1832">
        <f>'Expenditures 15-22'!F182</f>
        <v>21550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21550</v>
      </c>
      <c r="C1358" s="2" t="s">
        <v>569</v>
      </c>
      <c r="D1358" s="2" t="str">
        <f t="shared" si="20"/>
        <v>Error?</v>
      </c>
    </row>
    <row r="1359" spans="1:4" x14ac:dyDescent="0.2">
      <c r="A1359" s="5">
        <v>1298</v>
      </c>
      <c r="B1359" s="1832">
        <f>'Expenditures 15-22'!F210</f>
        <v>21550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48603</v>
      </c>
      <c r="C1375" s="2" t="s">
        <v>569</v>
      </c>
      <c r="D1375" s="2" t="str">
        <f t="shared" si="20"/>
        <v>Error?</v>
      </c>
    </row>
    <row r="1376" spans="1:4" x14ac:dyDescent="0.2">
      <c r="A1376" s="5">
        <v>1315</v>
      </c>
      <c r="B1376" s="1832">
        <f>'Expenditures 15-22'!H210</f>
        <v>48603</v>
      </c>
      <c r="C1376" s="2" t="s">
        <v>569</v>
      </c>
      <c r="D1376" s="2" t="str">
        <f t="shared" si="20"/>
        <v>Error?</v>
      </c>
    </row>
    <row r="1377" spans="1:4" x14ac:dyDescent="0.2">
      <c r="A1377" s="5">
        <v>1316</v>
      </c>
      <c r="B1377" s="1832">
        <f>'Expenditures 15-22'!K182</f>
        <v>144640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144640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48603</v>
      </c>
      <c r="C1387" s="2" t="s">
        <v>569</v>
      </c>
      <c r="D1387" s="2" t="str">
        <f t="shared" si="20"/>
        <v>Error?</v>
      </c>
    </row>
    <row r="1388" spans="1:4" x14ac:dyDescent="0.2">
      <c r="A1388" s="5">
        <v>1327</v>
      </c>
      <c r="B1388" s="1832">
        <f>'Expenditures 15-22'!K210</f>
        <v>194547</v>
      </c>
      <c r="C1388" s="2" t="s">
        <v>569</v>
      </c>
      <c r="D1388" s="2" t="str">
        <f t="shared" si="20"/>
        <v>Error?</v>
      </c>
    </row>
    <row r="1389" spans="1:4" x14ac:dyDescent="0.2">
      <c r="A1389" s="5">
        <v>1328</v>
      </c>
      <c r="B1389" s="1832">
        <f>'Expenditures 15-22'!K211</f>
        <v>90619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2933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61095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8688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631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9319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864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864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9138</v>
      </c>
      <c r="D1423" s="2" t="str">
        <f t="shared" si="21"/>
        <v>Error?</v>
      </c>
    </row>
    <row r="1424" spans="1:4" x14ac:dyDescent="0.2">
      <c r="A1424" s="5">
        <v>1363</v>
      </c>
      <c r="B1424" s="1832">
        <f>'Expenditures 15-22'!D257</f>
        <v>14620</v>
      </c>
      <c r="C1424" s="2" t="s">
        <v>569</v>
      </c>
      <c r="D1424" s="2" t="str">
        <f t="shared" si="21"/>
        <v>Error?</v>
      </c>
    </row>
    <row r="1425" spans="1:4" x14ac:dyDescent="0.2">
      <c r="A1425" s="5">
        <v>1364</v>
      </c>
      <c r="B1425" s="1832">
        <f>'Expenditures 15-22'!D259</f>
        <v>16956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16956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11088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39698</v>
      </c>
      <c r="D1431" s="2" t="str">
        <f t="shared" si="21"/>
        <v>Error?</v>
      </c>
    </row>
    <row r="1432" spans="1:4" x14ac:dyDescent="0.2">
      <c r="A1432" s="5">
        <v>1371</v>
      </c>
      <c r="B1432" s="1832">
        <f>'Expenditures 15-22'!D267</f>
        <v>21467</v>
      </c>
      <c r="D1432" s="2" t="str">
        <f t="shared" si="21"/>
        <v>Error?</v>
      </c>
    </row>
    <row r="1433" spans="1:4" x14ac:dyDescent="0.2">
      <c r="A1433" s="5">
        <v>1372</v>
      </c>
      <c r="B1433" s="1832">
        <f>'Expenditures 15-22'!D268</f>
        <v>22382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94635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136394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197489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2933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61095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8688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631</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9319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864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864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9138</v>
      </c>
      <c r="C1487" s="2" t="s">
        <v>569</v>
      </c>
      <c r="D1487" s="2" t="str">
        <f t="shared" si="22"/>
        <v>Error?</v>
      </c>
    </row>
    <row r="1488" spans="1:4" x14ac:dyDescent="0.2">
      <c r="A1488" s="5">
        <v>1427</v>
      </c>
      <c r="B1488" s="1832">
        <f>'Expenditures 15-22'!K257</f>
        <v>14620</v>
      </c>
      <c r="C1488" s="2" t="s">
        <v>569</v>
      </c>
      <c r="D1488" s="2" t="str">
        <f t="shared" si="22"/>
        <v>Error?</v>
      </c>
    </row>
    <row r="1489" spans="1:4" x14ac:dyDescent="0.2">
      <c r="A1489" s="5">
        <v>1428</v>
      </c>
      <c r="B1489" s="1832">
        <f>'Expenditures 15-22'!K259</f>
        <v>16956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16956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11088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39698</v>
      </c>
      <c r="C1495" s="2" t="s">
        <v>569</v>
      </c>
      <c r="D1495" s="2" t="str">
        <f t="shared" si="22"/>
        <v>Error?</v>
      </c>
    </row>
    <row r="1496" spans="1:4" x14ac:dyDescent="0.2">
      <c r="A1496" s="5">
        <v>1435</v>
      </c>
      <c r="B1496" s="1832">
        <f>'Expenditures 15-22'!K267</f>
        <v>21467</v>
      </c>
      <c r="C1496" s="2" t="s">
        <v>569</v>
      </c>
      <c r="D1496" s="2" t="str">
        <f t="shared" si="22"/>
        <v>Error?</v>
      </c>
    </row>
    <row r="1497" spans="1:4" x14ac:dyDescent="0.2">
      <c r="A1497" s="5">
        <v>1436</v>
      </c>
      <c r="B1497" s="1832">
        <f>'Expenditures 15-22'!K268</f>
        <v>22382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94635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136394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197489</v>
      </c>
      <c r="C1517" s="2" t="s">
        <v>569</v>
      </c>
      <c r="D1517" s="2" t="str">
        <f t="shared" si="22"/>
        <v>Error?</v>
      </c>
    </row>
    <row r="1518" spans="1:4" x14ac:dyDescent="0.2">
      <c r="A1518" s="5">
        <v>1457</v>
      </c>
      <c r="B1518" s="1832">
        <f>'Expenditures 15-22'!K296</f>
        <v>-71147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187153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1549793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1737421</v>
      </c>
      <c r="C1630" s="2" t="s">
        <v>569</v>
      </c>
      <c r="D1630" s="2" t="str">
        <f t="shared" si="24"/>
        <v>Error?</v>
      </c>
    </row>
    <row r="1631" spans="1:4" x14ac:dyDescent="0.2">
      <c r="A1631" s="5">
        <v>1570</v>
      </c>
      <c r="B1631" s="1832">
        <f>'Acct Summary 7-8'!D79</f>
        <v>676878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825262</v>
      </c>
      <c r="C1644" s="2" t="s">
        <v>569</v>
      </c>
      <c r="D1644" s="2" t="str">
        <f t="shared" si="24"/>
        <v>Error?</v>
      </c>
    </row>
    <row r="1645" spans="1:4" x14ac:dyDescent="0.2">
      <c r="A1645" s="5">
        <v>1584</v>
      </c>
      <c r="B1645" s="1832">
        <f>'Acct Summary 7-8'!E79</f>
        <v>205309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214300</v>
      </c>
      <c r="C1658" s="2" t="s">
        <v>569</v>
      </c>
      <c r="D1658" s="2" t="str">
        <f t="shared" si="24"/>
        <v>Error?</v>
      </c>
    </row>
    <row r="1659" spans="1:4" x14ac:dyDescent="0.2">
      <c r="A1659" s="5">
        <v>1598</v>
      </c>
      <c r="B1659" s="1832">
        <f>'Acct Summary 7-8'!F79</f>
        <v>50723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141342</v>
      </c>
      <c r="C1672" s="2" t="s">
        <v>569</v>
      </c>
      <c r="D1672" s="2" t="str">
        <f t="shared" si="25"/>
        <v>Error?</v>
      </c>
    </row>
    <row r="1673" spans="1:4" x14ac:dyDescent="0.2">
      <c r="A1673" s="5">
        <v>1612</v>
      </c>
      <c r="B1673" s="1832">
        <f>'Acct Summary 7-8'!G79</f>
        <v>607466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536319</v>
      </c>
      <c r="C1686" s="2" t="s">
        <v>569</v>
      </c>
      <c r="D1686" s="2" t="str">
        <f t="shared" si="25"/>
        <v>Error?</v>
      </c>
    </row>
    <row r="1687" spans="1:4" x14ac:dyDescent="0.2">
      <c r="A1687" s="5">
        <v>1626</v>
      </c>
      <c r="B1687" s="1832">
        <f>'Acct Summary 7-8'!H79</f>
        <v>184218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211371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1113671</v>
      </c>
      <c r="C1744" s="2" t="s">
        <v>569</v>
      </c>
      <c r="D1744" s="2" t="str">
        <f t="shared" si="26"/>
        <v>Error?</v>
      </c>
    </row>
    <row r="1745" spans="1:5" x14ac:dyDescent="0.2">
      <c r="A1745" s="5">
        <v>1684</v>
      </c>
      <c r="B1745" s="1832">
        <f>'Tax Sched 23'!B5</f>
        <v>274964</v>
      </c>
      <c r="C1745" s="2" t="s">
        <v>569</v>
      </c>
      <c r="D1745" s="2" t="str">
        <f t="shared" si="26"/>
        <v>Error?</v>
      </c>
    </row>
    <row r="1746" spans="1:5" x14ac:dyDescent="0.2">
      <c r="A1746" s="5">
        <v>1685</v>
      </c>
      <c r="B1746" s="1832">
        <f>'Tax Sched 23'!B6</f>
        <v>20335</v>
      </c>
      <c r="C1746" s="2" t="s">
        <v>569</v>
      </c>
      <c r="D1746" s="2" t="str">
        <f t="shared" si="26"/>
        <v>Error?</v>
      </c>
    </row>
    <row r="1747" spans="1:5" x14ac:dyDescent="0.2">
      <c r="A1747" s="5">
        <v>1686</v>
      </c>
      <c r="B1747" s="1832">
        <f>'Tax Sched 23'!B7</f>
        <v>112123</v>
      </c>
      <c r="C1747" s="2" t="s">
        <v>569</v>
      </c>
      <c r="D1747" s="2" t="str">
        <f t="shared" si="26"/>
        <v>Error?</v>
      </c>
    </row>
    <row r="1748" spans="1:5" x14ac:dyDescent="0.2">
      <c r="A1748" s="5">
        <v>1687</v>
      </c>
      <c r="B1748" s="1832">
        <f>'Tax Sched 23'!B8</f>
        <v>45463</v>
      </c>
      <c r="C1748" s="2" t="s">
        <v>569</v>
      </c>
      <c r="D1748" s="2" t="str">
        <f t="shared" si="26"/>
        <v>Error?</v>
      </c>
    </row>
    <row r="1749" spans="1:5" x14ac:dyDescent="0.2">
      <c r="A1749" s="5">
        <v>1688</v>
      </c>
      <c r="B1749" s="1832">
        <f>'Tax Sched 23'!B10</f>
        <v>26392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323176</v>
      </c>
      <c r="C1752" s="2" t="s">
        <v>569</v>
      </c>
      <c r="D1752" s="2" t="str">
        <f t="shared" si="26"/>
        <v>Error?</v>
      </c>
    </row>
    <row r="1753" spans="1:5" x14ac:dyDescent="0.2">
      <c r="A1753" s="5">
        <v>1692</v>
      </c>
      <c r="B1753" s="1832">
        <f>'Tax Sched 23'!B12</f>
        <v>27494</v>
      </c>
      <c r="C1753" s="2" t="s">
        <v>569</v>
      </c>
      <c r="D1753" s="2" t="str">
        <f t="shared" si="26"/>
        <v>Error?</v>
      </c>
    </row>
    <row r="1754" spans="1:5" x14ac:dyDescent="0.2">
      <c r="A1754" s="5">
        <v>1693</v>
      </c>
      <c r="B1754" s="1832">
        <f>'Tax Sched 23'!B14</f>
        <v>22105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2057006</v>
      </c>
      <c r="C1759" s="2" t="s">
        <v>569</v>
      </c>
      <c r="D1759" s="2" t="str">
        <f t="shared" si="26"/>
        <v>Error?</v>
      </c>
    </row>
    <row r="1760" spans="1:5" x14ac:dyDescent="0.2">
      <c r="A1760" s="5">
        <v>1699</v>
      </c>
      <c r="B1760" s="1832">
        <f>'Tax Sched 23'!D4</f>
        <v>1112145</v>
      </c>
      <c r="C1760" s="2" t="s">
        <v>569</v>
      </c>
      <c r="D1760" s="2" t="str">
        <f t="shared" si="26"/>
        <v>Error?</v>
      </c>
    </row>
    <row r="1761" spans="1:7" x14ac:dyDescent="0.2">
      <c r="A1761" s="5">
        <v>1700</v>
      </c>
      <c r="B1761" s="1832">
        <f>'Tax Sched 23'!D5</f>
        <v>274595</v>
      </c>
      <c r="C1761" s="2" t="s">
        <v>569</v>
      </c>
      <c r="D1761" s="2" t="str">
        <f t="shared" si="26"/>
        <v>Error?</v>
      </c>
    </row>
    <row r="1762" spans="1:7" s="8" customFormat="1" x14ac:dyDescent="0.2">
      <c r="A1762" s="5">
        <v>1701</v>
      </c>
      <c r="B1762" s="1832">
        <f>'Tax Sched 23'!D6</f>
        <v>20308</v>
      </c>
      <c r="C1762" s="2" t="s">
        <v>569</v>
      </c>
      <c r="D1762" s="2" t="str">
        <f t="shared" si="26"/>
        <v>Error?</v>
      </c>
      <c r="E1762" s="9"/>
      <c r="G1762"/>
    </row>
    <row r="1763" spans="1:7" x14ac:dyDescent="0.2">
      <c r="A1763" s="5">
        <v>1702</v>
      </c>
      <c r="B1763" s="1832">
        <f>'Tax Sched 23'!D7</f>
        <v>111975</v>
      </c>
      <c r="C1763" s="2" t="s">
        <v>569</v>
      </c>
      <c r="D1763" s="2" t="str">
        <f t="shared" si="26"/>
        <v>Error?</v>
      </c>
    </row>
    <row r="1764" spans="1:7" x14ac:dyDescent="0.2">
      <c r="A1764" s="5">
        <v>1703</v>
      </c>
      <c r="B1764" s="1832">
        <f>'Tax Sched 23'!D8</f>
        <v>45387</v>
      </c>
      <c r="C1764" s="2" t="s">
        <v>569</v>
      </c>
      <c r="D1764" s="2" t="str">
        <f t="shared" si="26"/>
        <v>Error?</v>
      </c>
    </row>
    <row r="1765" spans="1:7" x14ac:dyDescent="0.2">
      <c r="A1765" s="5">
        <v>1704</v>
      </c>
      <c r="B1765" s="1832">
        <f>'Tax Sched 23'!D10</f>
        <v>26355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322772</v>
      </c>
      <c r="C1768" s="2" t="s">
        <v>569</v>
      </c>
      <c r="D1768" s="2" t="str">
        <f t="shared" si="26"/>
        <v>Error?</v>
      </c>
    </row>
    <row r="1769" spans="1:7" x14ac:dyDescent="0.2">
      <c r="A1769" s="5">
        <v>1708</v>
      </c>
      <c r="B1769" s="1832">
        <f>'Tax Sched 23'!D12</f>
        <v>27457</v>
      </c>
      <c r="C1769" s="2" t="s">
        <v>569</v>
      </c>
      <c r="D1769" s="2" t="str">
        <f t="shared" si="26"/>
        <v>Error?</v>
      </c>
    </row>
    <row r="1770" spans="1:7" x14ac:dyDescent="0.2">
      <c r="A1770" s="5">
        <v>1709</v>
      </c>
      <c r="B1770" s="1832">
        <f>'Tax Sched 23'!D14</f>
        <v>22075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2054221</v>
      </c>
      <c r="C1775" s="2" t="s">
        <v>569</v>
      </c>
      <c r="D1775" s="2" t="str">
        <f t="shared" si="26"/>
        <v>Error?</v>
      </c>
    </row>
    <row r="1776" spans="1:7" x14ac:dyDescent="0.2">
      <c r="A1776" s="5">
        <v>1715</v>
      </c>
      <c r="B1776" s="1832">
        <f>'Tax Sched 23'!C4</f>
        <v>1526</v>
      </c>
      <c r="D1776" s="2" t="str">
        <f t="shared" si="26"/>
        <v>Error?</v>
      </c>
    </row>
    <row r="1777" spans="1:4" x14ac:dyDescent="0.2">
      <c r="A1777" s="5">
        <v>1716</v>
      </c>
      <c r="B1777" s="1832">
        <f>'Tax Sched 23'!C5</f>
        <v>369</v>
      </c>
      <c r="D1777" s="2" t="str">
        <f t="shared" si="26"/>
        <v>Error?</v>
      </c>
    </row>
    <row r="1778" spans="1:4" x14ac:dyDescent="0.2">
      <c r="A1778" s="5">
        <v>1717</v>
      </c>
      <c r="B1778" s="1832">
        <f>'Tax Sched 23'!C6</f>
        <v>27</v>
      </c>
      <c r="D1778" s="2" t="str">
        <f t="shared" si="26"/>
        <v>Error?</v>
      </c>
    </row>
    <row r="1779" spans="1:4" x14ac:dyDescent="0.2">
      <c r="A1779" s="5">
        <v>1718</v>
      </c>
      <c r="B1779" s="1832">
        <f>'Tax Sched 23'!C7</f>
        <v>148</v>
      </c>
      <c r="D1779" s="2" t="str">
        <f t="shared" si="26"/>
        <v>Error?</v>
      </c>
    </row>
    <row r="1780" spans="1:4" x14ac:dyDescent="0.2">
      <c r="A1780" s="5">
        <v>1719</v>
      </c>
      <c r="B1780" s="1832">
        <f>'Tax Sched 23'!C8</f>
        <v>76</v>
      </c>
      <c r="D1780" s="2" t="str">
        <f t="shared" si="26"/>
        <v>Error?</v>
      </c>
    </row>
    <row r="1781" spans="1:4" x14ac:dyDescent="0.2">
      <c r="A1781" s="5">
        <v>1720</v>
      </c>
      <c r="B1781" s="1832">
        <f>'Tax Sched 23'!C10</f>
        <v>37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404</v>
      </c>
      <c r="D1784" s="2" t="str">
        <f t="shared" si="26"/>
        <v>Error?</v>
      </c>
    </row>
    <row r="1785" spans="1:4" x14ac:dyDescent="0.2">
      <c r="A1785" s="5">
        <v>1724</v>
      </c>
      <c r="B1785" s="1832">
        <f>'Tax Sched 23'!C12</f>
        <v>37</v>
      </c>
      <c r="D1785" s="2" t="str">
        <f t="shared" si="26"/>
        <v>Error?</v>
      </c>
    </row>
    <row r="1786" spans="1:4" x14ac:dyDescent="0.2">
      <c r="A1786" s="5">
        <v>1725</v>
      </c>
      <c r="B1786" s="1832">
        <f>'Tax Sched 23'!C14</f>
        <v>30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2785</v>
      </c>
      <c r="C1791" s="2" t="s">
        <v>569</v>
      </c>
      <c r="D1791" s="2" t="str">
        <f t="shared" ref="D1791:D1854" si="27">IF(ISBLANK(B1791),"OK",IF(A1791-B1791=0,"OK","Error?"))</f>
        <v>Error?</v>
      </c>
    </row>
    <row r="1792" spans="1:4" x14ac:dyDescent="0.2">
      <c r="A1792" s="5">
        <v>1731</v>
      </c>
      <c r="B1792" s="1832">
        <f>'Tax Sched 23'!F4</f>
        <v>1159733</v>
      </c>
      <c r="C1792" s="2" t="s">
        <v>569</v>
      </c>
      <c r="D1792" s="2" t="str">
        <f t="shared" si="27"/>
        <v>Error?</v>
      </c>
    </row>
    <row r="1793" spans="1:4" x14ac:dyDescent="0.2">
      <c r="A1793" s="5">
        <v>1732</v>
      </c>
      <c r="B1793" s="1832">
        <f>'Tax Sched 23'!F5</f>
        <v>283437</v>
      </c>
      <c r="C1793" s="2" t="s">
        <v>569</v>
      </c>
      <c r="D1793" s="2" t="str">
        <f t="shared" si="27"/>
        <v>Error?</v>
      </c>
    </row>
    <row r="1794" spans="1:4" x14ac:dyDescent="0.2">
      <c r="A1794" s="5">
        <v>1733</v>
      </c>
      <c r="B1794" s="1832">
        <f>'Tax Sched 23'!F6</f>
        <v>20338</v>
      </c>
      <c r="C1794" s="2" t="s">
        <v>569</v>
      </c>
      <c r="D1794" s="2" t="str">
        <f t="shared" si="27"/>
        <v>Error?</v>
      </c>
    </row>
    <row r="1795" spans="1:4" x14ac:dyDescent="0.2">
      <c r="A1795" s="5">
        <v>1734</v>
      </c>
      <c r="B1795" s="1832">
        <f>'Tax Sched 23'!F7</f>
        <v>121622</v>
      </c>
      <c r="C1795" s="2" t="s">
        <v>569</v>
      </c>
      <c r="D1795" s="2" t="str">
        <f t="shared" si="27"/>
        <v>Error?</v>
      </c>
    </row>
    <row r="1796" spans="1:4" x14ac:dyDescent="0.2">
      <c r="A1796" s="5">
        <v>1735</v>
      </c>
      <c r="B1796" s="1832">
        <f>'Tax Sched 23'!F8</f>
        <v>54876</v>
      </c>
      <c r="C1796" s="2" t="s">
        <v>569</v>
      </c>
      <c r="D1796" s="2" t="str">
        <f t="shared" si="27"/>
        <v>Error?</v>
      </c>
    </row>
    <row r="1797" spans="1:4" x14ac:dyDescent="0.2">
      <c r="A1797" s="5">
        <v>1736</v>
      </c>
      <c r="B1797" s="1832">
        <f>'Tax Sched 23'!F10</f>
        <v>26766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292407</v>
      </c>
      <c r="C1800" s="2" t="s">
        <v>569</v>
      </c>
      <c r="D1800" s="2" t="str">
        <f t="shared" si="27"/>
        <v>Error?</v>
      </c>
    </row>
    <row r="1801" spans="1:4" x14ac:dyDescent="0.2">
      <c r="A1801" s="5">
        <v>1740</v>
      </c>
      <c r="B1801" s="1832">
        <f>'Tax Sched 23'!F12</f>
        <v>28042</v>
      </c>
      <c r="C1801" s="2" t="s">
        <v>569</v>
      </c>
      <c r="D1801" s="2" t="str">
        <f t="shared" si="27"/>
        <v>Error?</v>
      </c>
    </row>
    <row r="1802" spans="1:4" x14ac:dyDescent="0.2">
      <c r="A1802" s="5">
        <v>1741</v>
      </c>
      <c r="B1802" s="1832">
        <f>'Tax Sched 23'!F14</f>
        <v>22438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2110306</v>
      </c>
      <c r="C1807" s="2" t="s">
        <v>569</v>
      </c>
      <c r="D1807" s="2" t="str">
        <f t="shared" si="27"/>
        <v>Error?</v>
      </c>
    </row>
    <row r="1808" spans="1:4" x14ac:dyDescent="0.2">
      <c r="A1808" s="5">
        <v>1747</v>
      </c>
      <c r="B1808" s="1832">
        <f>'Tax Sched 23'!E4</f>
        <v>1161259</v>
      </c>
      <c r="D1808" s="2" t="str">
        <f t="shared" si="27"/>
        <v>Error?</v>
      </c>
    </row>
    <row r="1809" spans="1:4" x14ac:dyDescent="0.2">
      <c r="A1809" s="5">
        <v>1748</v>
      </c>
      <c r="B1809" s="1832">
        <f>'Tax Sched 23'!E5</f>
        <v>283806</v>
      </c>
      <c r="D1809" s="2" t="str">
        <f t="shared" si="27"/>
        <v>Error?</v>
      </c>
    </row>
    <row r="1810" spans="1:4" x14ac:dyDescent="0.2">
      <c r="A1810" s="5">
        <v>1749</v>
      </c>
      <c r="B1810" s="1832">
        <f>'Tax Sched 23'!E6</f>
        <v>20365</v>
      </c>
      <c r="D1810" s="2" t="str">
        <f t="shared" si="27"/>
        <v>Error?</v>
      </c>
    </row>
    <row r="1811" spans="1:4" x14ac:dyDescent="0.2">
      <c r="A1811" s="5">
        <v>1750</v>
      </c>
      <c r="B1811" s="1832">
        <f>'Tax Sched 23'!E7</f>
        <v>121770</v>
      </c>
      <c r="D1811" s="2" t="str">
        <f t="shared" si="27"/>
        <v>Error?</v>
      </c>
    </row>
    <row r="1812" spans="1:4" x14ac:dyDescent="0.2">
      <c r="A1812" s="5">
        <v>1751</v>
      </c>
      <c r="B1812" s="1832">
        <f>'Tax Sched 23'!E8</f>
        <v>54952</v>
      </c>
      <c r="D1812" s="2" t="str">
        <f t="shared" si="27"/>
        <v>Error?</v>
      </c>
    </row>
    <row r="1813" spans="1:4" x14ac:dyDescent="0.2">
      <c r="A1813" s="5">
        <v>1752</v>
      </c>
      <c r="B1813" s="1832">
        <f>'Tax Sched 23'!E10</f>
        <v>26803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292811</v>
      </c>
      <c r="D1816" s="2" t="str">
        <f t="shared" si="27"/>
        <v>Error?</v>
      </c>
    </row>
    <row r="1817" spans="1:4" x14ac:dyDescent="0.2">
      <c r="A1817" s="5">
        <v>1756</v>
      </c>
      <c r="B1817" s="1832">
        <f>'Tax Sched 23'!E12</f>
        <v>28079</v>
      </c>
      <c r="D1817" s="2" t="str">
        <f t="shared" si="27"/>
        <v>Error?</v>
      </c>
    </row>
    <row r="1818" spans="1:4" x14ac:dyDescent="0.2">
      <c r="A1818" s="5">
        <v>1757</v>
      </c>
      <c r="B1818" s="1832">
        <f>'Tax Sched 23'!E14</f>
        <v>22468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2113091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2347190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22105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22105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22105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63426</v>
      </c>
      <c r="D2008" s="2" t="str">
        <f t="shared" si="30"/>
        <v>Error?</v>
      </c>
    </row>
    <row r="2009" spans="1:4" x14ac:dyDescent="0.2">
      <c r="A2009" s="5">
        <v>1948</v>
      </c>
      <c r="B2009" s="1832">
        <f>'Cap Outlay Deprec 26'!C8</f>
        <v>8945692</v>
      </c>
      <c r="D2009" s="2" t="str">
        <f t="shared" si="30"/>
        <v>Error?</v>
      </c>
    </row>
    <row r="2010" spans="1:4" x14ac:dyDescent="0.2">
      <c r="A2010" s="5">
        <v>1949</v>
      </c>
      <c r="B2010" s="1832">
        <f>'Cap Outlay Deprec 26'!C10</f>
        <v>38078</v>
      </c>
      <c r="D2010" s="2" t="str">
        <f t="shared" si="30"/>
        <v>Error?</v>
      </c>
    </row>
    <row r="2011" spans="1:4" x14ac:dyDescent="0.2">
      <c r="A2011" s="5">
        <v>1950</v>
      </c>
      <c r="B2011" s="1832">
        <f>'Cap Outlay Deprec 26'!C12</f>
        <v>1398178</v>
      </c>
      <c r="D2011" s="2" t="str">
        <f t="shared" si="30"/>
        <v>Error?</v>
      </c>
    </row>
    <row r="2012" spans="1:4" x14ac:dyDescent="0.2">
      <c r="A2012" s="5">
        <v>1951</v>
      </c>
      <c r="B2012" s="1832">
        <f>'Cap Outlay Deprec 26'!C13</f>
        <v>984943</v>
      </c>
      <c r="D2012" s="2" t="str">
        <f t="shared" si="30"/>
        <v>Error?</v>
      </c>
    </row>
    <row r="2013" spans="1:4" x14ac:dyDescent="0.2">
      <c r="A2013" s="5">
        <v>1952</v>
      </c>
      <c r="B2013" s="1832">
        <f>'Cap Outlay Deprec 26'!C16</f>
        <v>11430317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49048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49048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63426</v>
      </c>
      <c r="C2026" s="2" t="s">
        <v>569</v>
      </c>
      <c r="D2026" s="2" t="str">
        <f t="shared" si="30"/>
        <v>Error?</v>
      </c>
    </row>
    <row r="2027" spans="1:4" x14ac:dyDescent="0.2">
      <c r="A2027" s="5">
        <v>1966</v>
      </c>
      <c r="B2027" s="1832">
        <f>'Cap Outlay Deprec 26'!F8</f>
        <v>8945692</v>
      </c>
      <c r="C2027" s="2" t="s">
        <v>569</v>
      </c>
      <c r="D2027" s="2" t="str">
        <f t="shared" si="30"/>
        <v>Error?</v>
      </c>
    </row>
    <row r="2028" spans="1:4" x14ac:dyDescent="0.2">
      <c r="A2028" s="5">
        <v>1967</v>
      </c>
      <c r="B2028" s="1832">
        <f>'Cap Outlay Deprec 26'!F10</f>
        <v>38078</v>
      </c>
      <c r="C2028" s="2" t="s">
        <v>569</v>
      </c>
      <c r="D2028" s="2" t="str">
        <f t="shared" si="30"/>
        <v>Error?</v>
      </c>
    </row>
    <row r="2029" spans="1:4" x14ac:dyDescent="0.2">
      <c r="A2029" s="5">
        <v>1968</v>
      </c>
      <c r="B2029" s="1832">
        <f>'Cap Outlay Deprec 26'!F12</f>
        <v>1447226</v>
      </c>
      <c r="C2029" s="2" t="s">
        <v>569</v>
      </c>
      <c r="D2029" s="2" t="str">
        <f t="shared" si="30"/>
        <v>Error?</v>
      </c>
    </row>
    <row r="2030" spans="1:4" x14ac:dyDescent="0.2">
      <c r="A2030" s="5">
        <v>1969</v>
      </c>
      <c r="B2030" s="1832">
        <f>'Cap Outlay Deprec 26'!F13</f>
        <v>984943</v>
      </c>
      <c r="C2030" s="2" t="s">
        <v>569</v>
      </c>
      <c r="D2030" s="2" t="str">
        <f t="shared" si="30"/>
        <v>Error?</v>
      </c>
    </row>
    <row r="2031" spans="1:4" x14ac:dyDescent="0.2">
      <c r="A2031" s="5">
        <v>1970</v>
      </c>
      <c r="B2031" s="1832">
        <f>'Cap Outlay Deprec 26'!F16</f>
        <v>11479365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4871003</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759968</v>
      </c>
      <c r="D2035" s="2" t="str">
        <f t="shared" si="30"/>
        <v>Error?</v>
      </c>
    </row>
    <row r="2036" spans="1:4" x14ac:dyDescent="0.2">
      <c r="A2036" s="5">
        <v>1975</v>
      </c>
      <c r="B2036" s="1832">
        <f>'Cap Outlay Deprec 26'!H13</f>
        <v>801067</v>
      </c>
      <c r="D2036" s="2" t="str">
        <f t="shared" si="30"/>
        <v>Error?</v>
      </c>
    </row>
    <row r="2037" spans="1:4" x14ac:dyDescent="0.2">
      <c r="A2037" s="5">
        <v>1976</v>
      </c>
      <c r="B2037" s="1832">
        <f>'Cap Outlay Deprec 26'!H16</f>
        <v>6432038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81494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66273</v>
      </c>
      <c r="D2041" s="2" t="str">
        <f t="shared" si="30"/>
        <v>Error?</v>
      </c>
    </row>
    <row r="2042" spans="1:4" x14ac:dyDescent="0.2">
      <c r="A2042" s="5">
        <v>1981</v>
      </c>
      <c r="B2042" s="1832">
        <f>'Cap Outlay Deprec 26'!I13</f>
        <v>50913</v>
      </c>
      <c r="D2042" s="2" t="str">
        <f t="shared" si="30"/>
        <v>Error?</v>
      </c>
    </row>
    <row r="2043" spans="1:4" x14ac:dyDescent="0.2">
      <c r="A2043" s="5">
        <v>1982</v>
      </c>
      <c r="B2043" s="1832">
        <f>'Cap Outlay Deprec 26'!I16</f>
        <v>198680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4952497</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826241</v>
      </c>
      <c r="C2053" s="2" t="s">
        <v>569</v>
      </c>
      <c r="D2053" s="2" t="str">
        <f t="shared" si="31"/>
        <v>Error?</v>
      </c>
    </row>
    <row r="2054" spans="1:4" x14ac:dyDescent="0.2">
      <c r="A2054" s="5">
        <v>1993</v>
      </c>
      <c r="B2054" s="1832">
        <f>'Cap Outlay Deprec 26'!K13</f>
        <v>851980</v>
      </c>
      <c r="C2054" s="2" t="s">
        <v>569</v>
      </c>
      <c r="D2054" s="2" t="str">
        <f t="shared" si="31"/>
        <v>Error?</v>
      </c>
    </row>
    <row r="2055" spans="1:4" x14ac:dyDescent="0.2">
      <c r="A2055" s="5">
        <v>1994</v>
      </c>
      <c r="B2055" s="1832">
        <f>'Cap Outlay Deprec 26'!K16</f>
        <v>6630718</v>
      </c>
      <c r="C2055" s="2" t="s">
        <v>569</v>
      </c>
      <c r="D2055" s="2" t="str">
        <f t="shared" si="31"/>
        <v>Error?</v>
      </c>
    </row>
    <row r="2056" spans="1:4" x14ac:dyDescent="0.2">
      <c r="A2056" s="5">
        <v>1995</v>
      </c>
      <c r="B2056" s="1832">
        <f>'Cap Outlay Deprec 26'!L5</f>
        <v>63426</v>
      </c>
      <c r="C2056" s="2" t="s">
        <v>569</v>
      </c>
      <c r="D2056" s="2" t="str">
        <f t="shared" si="31"/>
        <v>Error?</v>
      </c>
    </row>
    <row r="2057" spans="1:4" x14ac:dyDescent="0.2">
      <c r="A2057" s="5">
        <v>1996</v>
      </c>
      <c r="B2057" s="1832">
        <f>'Cap Outlay Deprec 26'!L8</f>
        <v>3993195</v>
      </c>
      <c r="C2057" s="2" t="s">
        <v>569</v>
      </c>
      <c r="D2057" s="2" t="str">
        <f t="shared" si="31"/>
        <v>Error?</v>
      </c>
    </row>
    <row r="2058" spans="1:4" x14ac:dyDescent="0.2">
      <c r="A2058" s="5">
        <v>1997</v>
      </c>
      <c r="B2058" s="1832">
        <f>'Cap Outlay Deprec 26'!L10</f>
        <v>38078</v>
      </c>
      <c r="C2058" s="2" t="s">
        <v>569</v>
      </c>
      <c r="D2058" s="2" t="str">
        <f t="shared" si="31"/>
        <v>Error?</v>
      </c>
    </row>
    <row r="2059" spans="1:4" x14ac:dyDescent="0.2">
      <c r="A2059" s="5">
        <v>1998</v>
      </c>
      <c r="B2059" s="1832">
        <f>'Cap Outlay Deprec 26'!L12</f>
        <v>620985</v>
      </c>
      <c r="C2059" s="2" t="s">
        <v>569</v>
      </c>
      <c r="D2059" s="2" t="str">
        <f t="shared" si="31"/>
        <v>Error?</v>
      </c>
    </row>
    <row r="2060" spans="1:4" x14ac:dyDescent="0.2">
      <c r="A2060" s="5">
        <v>1999</v>
      </c>
      <c r="B2060" s="1832">
        <f>'Cap Outlay Deprec 26'!L13</f>
        <v>132963</v>
      </c>
      <c r="C2060" s="2" t="s">
        <v>569</v>
      </c>
      <c r="D2060" s="2" t="str">
        <f t="shared" si="31"/>
        <v>Error?</v>
      </c>
    </row>
    <row r="2061" spans="1:4" x14ac:dyDescent="0.2">
      <c r="A2061" s="5">
        <v>2000</v>
      </c>
      <c r="B2061" s="1832">
        <f>'Cap Outlay Deprec 26'!L16</f>
        <v>4848647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345370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536319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214300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211371</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1542224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3243012</v>
      </c>
      <c r="C2553" s="2" t="s">
        <v>569</v>
      </c>
      <c r="D2553" s="2" t="str">
        <f t="shared" si="38"/>
        <v>Error?</v>
      </c>
    </row>
    <row r="2554" spans="1:4" x14ac:dyDescent="0.2">
      <c r="A2554" s="5">
        <v>2493</v>
      </c>
      <c r="B2554" s="1832">
        <f>'Acct Summary 7-8'!C7</f>
        <v>623084</v>
      </c>
      <c r="C2554" s="2" t="s">
        <v>569</v>
      </c>
      <c r="D2554" s="2" t="str">
        <f t="shared" si="38"/>
        <v>Error?</v>
      </c>
    </row>
    <row r="2555" spans="1:4" x14ac:dyDescent="0.2">
      <c r="A2555" s="5">
        <v>2494</v>
      </c>
      <c r="B2555" s="1832">
        <f>'Acct Summary 7-8'!C8</f>
        <v>5432117</v>
      </c>
      <c r="C2555" s="2" t="s">
        <v>569</v>
      </c>
      <c r="D2555" s="2" t="str">
        <f t="shared" si="38"/>
        <v>Error?</v>
      </c>
    </row>
    <row r="2556" spans="1:4" x14ac:dyDescent="0.2">
      <c r="A2556" s="5">
        <v>2495</v>
      </c>
      <c r="B2556" s="1832">
        <f>'Acct Summary 7-8'!C12</f>
        <v>3411780</v>
      </c>
      <c r="C2556" s="2" t="s">
        <v>569</v>
      </c>
      <c r="D2556" s="2" t="str">
        <f t="shared" si="38"/>
        <v>Error?</v>
      </c>
    </row>
    <row r="2557" spans="1:4" x14ac:dyDescent="0.2">
      <c r="A2557" s="5">
        <v>2496</v>
      </c>
      <c r="B2557" s="1832">
        <f>'Acct Summary 7-8'!C13</f>
        <v>1414904</v>
      </c>
      <c r="C2557" s="2" t="s">
        <v>569</v>
      </c>
      <c r="D2557" s="2" t="str">
        <f t="shared" si="38"/>
        <v>Error?</v>
      </c>
    </row>
    <row r="2558" spans="1:4" x14ac:dyDescent="0.2">
      <c r="A2558" s="5">
        <v>2497</v>
      </c>
      <c r="B2558" s="1832">
        <f>'Acct Summary 7-8'!C14</f>
        <v>72435</v>
      </c>
      <c r="C2558" s="2" t="s">
        <v>569</v>
      </c>
      <c r="D2558" s="2" t="str">
        <f t="shared" si="38"/>
        <v>Error?</v>
      </c>
    </row>
    <row r="2559" spans="1:4" x14ac:dyDescent="0.2">
      <c r="A2559" s="5">
        <v>2498</v>
      </c>
      <c r="B2559" s="1832">
        <f>'Acct Summary 7-8'!C15</f>
        <v>345370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5244489</v>
      </c>
      <c r="C2561" s="2" t="s">
        <v>569</v>
      </c>
      <c r="D2561" s="2" t="str">
        <f t="shared" si="39"/>
        <v>Error?</v>
      </c>
    </row>
    <row r="2562" spans="1:4" x14ac:dyDescent="0.2">
      <c r="A2562" s="5">
        <v>2501</v>
      </c>
      <c r="B2562" s="1832">
        <f>'Acct Summary 7-8'!C20</f>
        <v>187628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282944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282944</v>
      </c>
      <c r="C2568" s="2" t="s">
        <v>569</v>
      </c>
      <c r="D2568" s="2" t="str">
        <f t="shared" si="39"/>
        <v>Error?</v>
      </c>
    </row>
    <row r="2569" spans="1:4" x14ac:dyDescent="0.2">
      <c r="A2569" s="5">
        <v>2508</v>
      </c>
      <c r="B2569" s="1832">
        <f>'Acct Summary 7-8'!D13</f>
        <v>134560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134560</v>
      </c>
      <c r="C2573" s="2" t="s">
        <v>569</v>
      </c>
      <c r="D2573" s="2" t="str">
        <f t="shared" si="39"/>
        <v>Error?</v>
      </c>
    </row>
    <row r="2574" spans="1:4" x14ac:dyDescent="0.2">
      <c r="A2574" s="5">
        <v>2513</v>
      </c>
      <c r="B2574" s="1832">
        <f>'Acct Summary 7-8'!D20</f>
        <v>148384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113204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171962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285166</v>
      </c>
      <c r="C2595" s="2" t="s">
        <v>569</v>
      </c>
      <c r="D2595" s="2" t="str">
        <f t="shared" si="39"/>
        <v>Error?</v>
      </c>
    </row>
    <row r="2596" spans="1:4" x14ac:dyDescent="0.2">
      <c r="A2596" s="5">
        <v>2535</v>
      </c>
      <c r="B2596" s="1832">
        <f>'Acct Summary 7-8'!F13</f>
        <v>144640</v>
      </c>
      <c r="C2596" s="2" t="s">
        <v>569</v>
      </c>
      <c r="D2596" s="2" t="str">
        <f t="shared" si="39"/>
        <v>Error?</v>
      </c>
    </row>
    <row r="2597" spans="1:4" x14ac:dyDescent="0.2">
      <c r="A2597" s="5">
        <v>2536</v>
      </c>
      <c r="B2597" s="1832">
        <f>'Acct Summary 7-8'!F14</f>
        <v>1304</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48603</v>
      </c>
      <c r="C2599" s="2" t="s">
        <v>569</v>
      </c>
      <c r="D2599" s="2" t="str">
        <f t="shared" si="39"/>
        <v>Error?</v>
      </c>
    </row>
    <row r="2600" spans="1:4" x14ac:dyDescent="0.2">
      <c r="A2600" s="5">
        <v>2539</v>
      </c>
      <c r="B2600" s="1832">
        <f>'Acct Summary 7-8'!F17</f>
        <v>194547</v>
      </c>
      <c r="C2600" s="2" t="s">
        <v>569</v>
      </c>
      <c r="D2600" s="2" t="str">
        <f t="shared" si="39"/>
        <v>Error?</v>
      </c>
    </row>
    <row r="2601" spans="1:4" x14ac:dyDescent="0.2">
      <c r="A2601" s="5">
        <v>2540</v>
      </c>
      <c r="B2601" s="1832">
        <f>'Acct Summary 7-8'!F20</f>
        <v>90619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126342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126342</v>
      </c>
      <c r="C2606" s="2" t="s">
        <v>569</v>
      </c>
      <c r="D2606" s="2" t="str">
        <f t="shared" si="39"/>
        <v>Error?</v>
      </c>
    </row>
    <row r="2607" spans="1:4" x14ac:dyDescent="0.2">
      <c r="A2607" s="5">
        <v>2546</v>
      </c>
      <c r="B2607" s="1832">
        <f>'Acct Summary 7-8'!G12</f>
        <v>61095</v>
      </c>
      <c r="C2607" s="2" t="s">
        <v>569</v>
      </c>
      <c r="D2607" s="2" t="str">
        <f t="shared" si="39"/>
        <v>Error?</v>
      </c>
    </row>
    <row r="2608" spans="1:4" x14ac:dyDescent="0.2">
      <c r="A2608" s="5">
        <v>2547</v>
      </c>
      <c r="B2608" s="1832">
        <f>'Acct Summary 7-8'!G13</f>
        <v>136394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197489</v>
      </c>
      <c r="C2612" s="2" t="s">
        <v>569</v>
      </c>
      <c r="D2612" s="2" t="str">
        <f t="shared" si="39"/>
        <v>Error?</v>
      </c>
    </row>
    <row r="2613" spans="1:4" x14ac:dyDescent="0.2">
      <c r="A2613" s="5">
        <v>2552</v>
      </c>
      <c r="B2613" s="1832">
        <f>'Acct Summary 7-8'!G20</f>
        <v>-71147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26746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26746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177755</v>
      </c>
      <c r="C2634" s="2" t="s">
        <v>569</v>
      </c>
      <c r="D2634" s="2" t="str">
        <f t="shared" si="40"/>
        <v>Error?</v>
      </c>
    </row>
    <row r="2635" spans="1:4" x14ac:dyDescent="0.2">
      <c r="A2635" s="5">
        <v>2574</v>
      </c>
      <c r="B2635" s="1832">
        <f>'Acct Summary 7-8'!E17</f>
        <v>177755</v>
      </c>
      <c r="C2635" s="2" t="s">
        <v>569</v>
      </c>
      <c r="D2635" s="2" t="str">
        <f t="shared" si="40"/>
        <v>Error?</v>
      </c>
    </row>
    <row r="2636" spans="1:4" x14ac:dyDescent="0.2">
      <c r="A2636" s="5">
        <v>2575</v>
      </c>
      <c r="B2636" s="1832">
        <f>'Acct Summary 7-8'!E20</f>
        <v>-151009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187153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187153</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187153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345370</v>
      </c>
      <c r="C2789" s="2" t="s">
        <v>569</v>
      </c>
      <c r="D2789" s="2" t="str">
        <f t="shared" si="42"/>
        <v>Error?</v>
      </c>
    </row>
    <row r="2790" spans="1:4" x14ac:dyDescent="0.2">
      <c r="A2790" s="5">
        <v>2729</v>
      </c>
      <c r="B2790" s="1832">
        <f>'Expenditures 15-22'!E102</f>
        <v>345370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1304</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1304</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305756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802971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3235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111893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802971</v>
      </c>
      <c r="D2912" s="2" t="str">
        <f t="shared" si="44"/>
        <v>Error?</v>
      </c>
    </row>
    <row r="2913" spans="1:4" x14ac:dyDescent="0.2">
      <c r="A2913" s="5">
        <v>2852</v>
      </c>
      <c r="B2913" s="1832">
        <f>'Assets-Liab 5-6'!I41</f>
        <v>802971</v>
      </c>
      <c r="C2913" s="2" t="s">
        <v>569</v>
      </c>
      <c r="D2913" s="2" t="str">
        <f t="shared" si="44"/>
        <v>Error?</v>
      </c>
    </row>
    <row r="2914" spans="1:4" x14ac:dyDescent="0.2">
      <c r="A2914" s="5">
        <v>2853</v>
      </c>
      <c r="B2914" s="1832">
        <f>'Assets-Liab 5-6'!L33</f>
        <v>111893</v>
      </c>
      <c r="D2914" s="2" t="str">
        <f t="shared" si="44"/>
        <v>Error?</v>
      </c>
    </row>
    <row r="2915" spans="1:4" x14ac:dyDescent="0.2">
      <c r="A2915" s="10">
        <v>2854</v>
      </c>
      <c r="B2915" s="1832"/>
      <c r="D2915" s="2" t="str">
        <f t="shared" si="44"/>
        <v>OK</v>
      </c>
    </row>
    <row r="2916" spans="1:4" x14ac:dyDescent="0.2">
      <c r="A2916" s="5">
        <v>2855</v>
      </c>
      <c r="B2916" s="1832">
        <f>'Assets-Liab 5-6'!L34</f>
        <v>111893</v>
      </c>
      <c r="C2916" s="2" t="s">
        <v>569</v>
      </c>
      <c r="D2916" s="2" t="str">
        <f t="shared" si="44"/>
        <v>Error?</v>
      </c>
    </row>
    <row r="2917" spans="1:4" x14ac:dyDescent="0.2">
      <c r="A2917" s="5">
        <v>2856</v>
      </c>
      <c r="B2917" s="1832">
        <f>'Assets-Liab 5-6'!L41</f>
        <v>111893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2039</v>
      </c>
      <c r="D2949" s="2" t="str">
        <f t="shared" si="45"/>
        <v>Error?</v>
      </c>
    </row>
    <row r="2950" spans="1:4" x14ac:dyDescent="0.2">
      <c r="A2950" s="5">
        <v>2889</v>
      </c>
      <c r="B2950" s="1832">
        <f>'Expenditures 15-22'!E79</f>
        <v>343331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2039</v>
      </c>
      <c r="C2973" s="2" t="s">
        <v>569</v>
      </c>
      <c r="D2973" s="2" t="str">
        <f t="shared" si="45"/>
        <v>Error?</v>
      </c>
    </row>
    <row r="2974" spans="1:4" x14ac:dyDescent="0.2">
      <c r="A2974" s="5">
        <v>2913</v>
      </c>
      <c r="B2974" s="1832">
        <f>'Expenditures 15-22'!K79</f>
        <v>343331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61797</v>
      </c>
      <c r="D3055" s="2" t="str">
        <f t="shared" si="46"/>
        <v>Error?</v>
      </c>
    </row>
    <row r="3056" spans="1:4" x14ac:dyDescent="0.2">
      <c r="A3056" s="5">
        <v>2995</v>
      </c>
      <c r="B3056" s="1832">
        <f>'Expenditures 15-22'!D10</f>
        <v>9597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41726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113120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4447</v>
      </c>
      <c r="D3064" s="2" t="str">
        <f t="shared" si="46"/>
        <v>Error?</v>
      </c>
    </row>
    <row r="3065" spans="1:4" x14ac:dyDescent="0.2">
      <c r="A3065" s="5">
        <v>3004</v>
      </c>
      <c r="B3065" s="1832">
        <f>'Expenditures 15-22'!K219</f>
        <v>4447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35250</v>
      </c>
      <c r="C3225" s="2" t="s">
        <v>569</v>
      </c>
      <c r="D3225" s="2" t="str">
        <f t="shared" si="49"/>
        <v>Error?</v>
      </c>
    </row>
    <row r="3226" spans="1:4" x14ac:dyDescent="0.2">
      <c r="A3226" s="5">
        <v>3165</v>
      </c>
      <c r="B3226" s="1832">
        <f>'Acct Summary 7-8'!I8</f>
        <v>35250</v>
      </c>
      <c r="C3226" s="2" t="s">
        <v>569</v>
      </c>
      <c r="D3226" s="2" t="str">
        <f t="shared" si="49"/>
        <v>Error?</v>
      </c>
    </row>
    <row r="3227" spans="1:4" x14ac:dyDescent="0.2">
      <c r="A3227" s="5">
        <v>3166</v>
      </c>
      <c r="B3227" s="1832">
        <f>'Acct Summary 7-8'!I20</f>
        <v>35250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187628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148384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90619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-71147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160000</v>
      </c>
      <c r="D3273" s="2" t="str">
        <f t="shared" si="50"/>
        <v>Error?</v>
      </c>
    </row>
    <row r="3274" spans="1:4" x14ac:dyDescent="0.2">
      <c r="A3274" s="5">
        <v>3213</v>
      </c>
      <c r="B3274" s="1832">
        <f>'Acct Summary 7-8'!E44</f>
        <v>160000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160000</v>
      </c>
      <c r="C3277" s="2" t="s">
        <v>569</v>
      </c>
      <c r="D3277" s="2" t="str">
        <f t="shared" si="50"/>
        <v>Error?</v>
      </c>
    </row>
    <row r="3278" spans="1:4" x14ac:dyDescent="0.2">
      <c r="A3278" s="5">
        <v>3217</v>
      </c>
      <c r="B3278" s="1832">
        <f>'Acct Summary 7-8'!E78</f>
        <v>8991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-160000</v>
      </c>
      <c r="D3295" s="2" t="str">
        <f t="shared" si="50"/>
        <v>Error?</v>
      </c>
    </row>
    <row r="3296" spans="1:4" x14ac:dyDescent="0.2">
      <c r="A3296" s="5">
        <v>3235</v>
      </c>
      <c r="B3296" s="1832">
        <f>'Acct Summary 7-8'!H44</f>
        <v>-160000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-160000</v>
      </c>
      <c r="C3299" s="2" t="s">
        <v>569</v>
      </c>
      <c r="D3299" s="2" t="str">
        <f t="shared" si="50"/>
        <v>Error?</v>
      </c>
    </row>
    <row r="3300" spans="1:4" x14ac:dyDescent="0.2">
      <c r="A3300" s="5">
        <v>3239</v>
      </c>
      <c r="B3300" s="1832">
        <f>'Acct Summary 7-8'!H78</f>
        <v>27153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35250</v>
      </c>
      <c r="C3320" s="2" t="s">
        <v>569</v>
      </c>
      <c r="D3320" s="2" t="str">
        <f t="shared" si="50"/>
        <v>Error?</v>
      </c>
    </row>
    <row r="3321" spans="1:4" x14ac:dyDescent="0.2">
      <c r="A3321" s="5">
        <v>3260</v>
      </c>
      <c r="B3321" s="1832">
        <f>'Acct Summary 7-8'!I79</f>
        <v>767721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802971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308297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56721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608</v>
      </c>
      <c r="D3372" s="2" t="str">
        <f t="shared" si="51"/>
        <v>Error?</v>
      </c>
    </row>
    <row r="3373" spans="1:4" x14ac:dyDescent="0.2">
      <c r="A3373" s="5">
        <v>3312</v>
      </c>
      <c r="B3373" s="1832">
        <f>'Expenditures 15-22'!F19</f>
        <v>10101</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365626</v>
      </c>
      <c r="C3380" s="2" t="s">
        <v>569</v>
      </c>
      <c r="D3380" s="2" t="str">
        <f t="shared" si="51"/>
        <v>Error?</v>
      </c>
    </row>
    <row r="3381" spans="1:4" x14ac:dyDescent="0.2">
      <c r="A3381" s="5">
        <v>3320</v>
      </c>
      <c r="B3381" s="1832">
        <f>'Expenditures 15-22'!K19</f>
        <v>10101</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29135</v>
      </c>
      <c r="D3387" s="2" t="str">
        <f t="shared" si="51"/>
        <v>Error?</v>
      </c>
    </row>
    <row r="3388" spans="1:4" x14ac:dyDescent="0.2">
      <c r="A3388" s="5">
        <v>3327</v>
      </c>
      <c r="B3388" s="1832">
        <f>'Expenditures 15-22'!D217</f>
        <v>16930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29135</v>
      </c>
      <c r="C3390" s="2" t="s">
        <v>569</v>
      </c>
      <c r="D3390" s="2" t="str">
        <f t="shared" si="51"/>
        <v>Error?</v>
      </c>
    </row>
    <row r="3391" spans="1:4" x14ac:dyDescent="0.2">
      <c r="A3391" s="5">
        <v>3330</v>
      </c>
      <c r="B3391" s="1832">
        <f>'Expenditures 15-22'!K217</f>
        <v>16930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23797</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1737421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825262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114300</v>
      </c>
      <c r="D3417" s="2" t="str">
        <f t="shared" si="52"/>
        <v>Error?</v>
      </c>
    </row>
    <row r="3418" spans="1:4" x14ac:dyDescent="0.2">
      <c r="A3418" s="10">
        <v>3357</v>
      </c>
      <c r="B3418" s="1832"/>
      <c r="D3418" s="2" t="str">
        <f t="shared" si="52"/>
        <v>OK</v>
      </c>
    </row>
    <row r="3419" spans="1:4" x14ac:dyDescent="0.2">
      <c r="A3419" s="5">
        <v>3358</v>
      </c>
      <c r="B3419" s="1832">
        <f>'Assets-Liab 5-6'!F4</f>
        <v>141342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86319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211371</v>
      </c>
      <c r="D3425" s="2" t="str">
        <f t="shared" si="52"/>
        <v>Error?</v>
      </c>
    </row>
    <row r="3426" spans="1:4" x14ac:dyDescent="0.2">
      <c r="A3426" s="10">
        <v>3365</v>
      </c>
      <c r="B3426" s="1832"/>
      <c r="D3426" s="2" t="str">
        <f t="shared" si="52"/>
        <v>OK</v>
      </c>
    </row>
    <row r="3427" spans="1:4" x14ac:dyDescent="0.2">
      <c r="A3427" s="5">
        <v>3366</v>
      </c>
      <c r="B3427" s="1832">
        <f>'Assets-Liab 5-6'!I4</f>
        <v>497215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108658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63651</v>
      </c>
      <c r="C3446" s="2" t="s">
        <v>569</v>
      </c>
      <c r="D3446" s="2" t="str">
        <f t="shared" si="52"/>
        <v>Error?</v>
      </c>
    </row>
    <row r="3447" spans="1:4" x14ac:dyDescent="0.2">
      <c r="A3447" s="5">
        <v>3386</v>
      </c>
      <c r="B3447" s="1832">
        <f>'Tax Sched 23'!D16</f>
        <v>63550</v>
      </c>
      <c r="C3447" s="2" t="s">
        <v>569</v>
      </c>
      <c r="D3447" s="2" t="str">
        <f t="shared" si="52"/>
        <v>Error?</v>
      </c>
    </row>
    <row r="3448" spans="1:4" x14ac:dyDescent="0.2">
      <c r="A3448" s="5">
        <v>3387</v>
      </c>
      <c r="B3448" s="1832">
        <f>'Tax Sched 23'!C16</f>
        <v>101</v>
      </c>
      <c r="D3448" s="2" t="str">
        <f t="shared" si="52"/>
        <v>Error?</v>
      </c>
    </row>
    <row r="3449" spans="1:4" x14ac:dyDescent="0.2">
      <c r="A3449" s="5">
        <v>3388</v>
      </c>
      <c r="B3449" s="1832">
        <f>'Tax Sched 23'!F16</f>
        <v>73004</v>
      </c>
      <c r="C3449" s="2" t="s">
        <v>569</v>
      </c>
      <c r="D3449" s="2" t="str">
        <f t="shared" si="52"/>
        <v>Error?</v>
      </c>
    </row>
    <row r="3450" spans="1:4" x14ac:dyDescent="0.2">
      <c r="A3450" s="5">
        <v>3389</v>
      </c>
      <c r="B3450" s="1832">
        <f>'Tax Sched 23'!E16</f>
        <v>73105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86753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86753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86753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86753</v>
      </c>
      <c r="C3568" s="2" t="s">
        <v>569</v>
      </c>
      <c r="D3568" s="2" t="str">
        <f t="shared" si="54"/>
        <v>Error?</v>
      </c>
    </row>
    <row r="3569" spans="1:4" x14ac:dyDescent="0.2">
      <c r="A3569" s="5">
        <v>3508</v>
      </c>
      <c r="B3569" s="1832">
        <f>'Acct Summary 7-8'!K4</f>
        <v>27523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27523</v>
      </c>
      <c r="C3571" s="2" t="s">
        <v>569</v>
      </c>
      <c r="D3571" s="2" t="str">
        <f t="shared" si="54"/>
        <v>Error?</v>
      </c>
    </row>
    <row r="3572" spans="1:4" x14ac:dyDescent="0.2">
      <c r="A3572" s="5">
        <v>3511</v>
      </c>
      <c r="B3572" s="1832">
        <f>'Acct Summary 7-8'!K13</f>
        <v>1713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1713</v>
      </c>
      <c r="C3575" s="2" t="s">
        <v>569</v>
      </c>
      <c r="D3575" s="2" t="str">
        <f t="shared" si="54"/>
        <v>Error?</v>
      </c>
    </row>
    <row r="3576" spans="1:4" x14ac:dyDescent="0.2">
      <c r="A3576" s="5">
        <v>3515</v>
      </c>
      <c r="B3576" s="1832">
        <f>'Acct Summary 7-8'!K20</f>
        <v>25810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25810</v>
      </c>
      <c r="C3588" s="2" t="s">
        <v>569</v>
      </c>
      <c r="D3588" s="2" t="str">
        <f t="shared" si="55"/>
        <v>Error?</v>
      </c>
    </row>
    <row r="3589" spans="1:4" x14ac:dyDescent="0.2">
      <c r="A3589" s="5">
        <v>3528</v>
      </c>
      <c r="B3589" s="1832">
        <f>'Acct Summary 7-8'!K79</f>
        <v>60943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86753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1713</v>
      </c>
      <c r="D3632" s="2" t="str">
        <f t="shared" si="55"/>
        <v>Error?</v>
      </c>
    </row>
    <row r="3633" spans="1:4" x14ac:dyDescent="0.2">
      <c r="A3633" s="5">
        <v>3572</v>
      </c>
      <c r="B3633" s="1832">
        <f>'Expenditures 15-22'!E350</f>
        <v>1713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1713</v>
      </c>
      <c r="C3635" s="2" t="s">
        <v>569</v>
      </c>
      <c r="D3635" s="2" t="str">
        <f t="shared" si="55"/>
        <v>Error?</v>
      </c>
    </row>
    <row r="3636" spans="1:4" x14ac:dyDescent="0.2">
      <c r="A3636" s="5">
        <v>3575</v>
      </c>
      <c r="B3636" s="1832">
        <f>'Expenditures 15-22'!E367</f>
        <v>1713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1713</v>
      </c>
      <c r="C3669" s="2" t="s">
        <v>569</v>
      </c>
      <c r="D3669" s="2" t="str">
        <f t="shared" si="56"/>
        <v>Error?</v>
      </c>
    </row>
    <row r="3670" spans="1:4" x14ac:dyDescent="0.2">
      <c r="A3670" s="5">
        <v>3609</v>
      </c>
      <c r="B3670" s="1832">
        <f>'Expenditures 15-22'!K350</f>
        <v>1713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1713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1713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25810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27632</v>
      </c>
      <c r="C3725" s="2" t="s">
        <v>569</v>
      </c>
      <c r="D3725" s="2" t="str">
        <f t="shared" si="57"/>
        <v>Error?</v>
      </c>
    </row>
    <row r="3726" spans="1:4" x14ac:dyDescent="0.2">
      <c r="A3726" s="5">
        <v>3665</v>
      </c>
      <c r="B3726" s="1832">
        <f>'Tax Sched 23'!D13</f>
        <v>27602</v>
      </c>
      <c r="C3726" s="2" t="s">
        <v>569</v>
      </c>
      <c r="D3726" s="2" t="str">
        <f t="shared" si="57"/>
        <v>Error?</v>
      </c>
    </row>
    <row r="3727" spans="1:4" x14ac:dyDescent="0.2">
      <c r="A3727" s="5">
        <v>3666</v>
      </c>
      <c r="B3727" s="1832">
        <f>'Tax Sched 23'!C13</f>
        <v>30</v>
      </c>
      <c r="D3727" s="2" t="str">
        <f t="shared" si="57"/>
        <v>Error?</v>
      </c>
    </row>
    <row r="3728" spans="1:4" x14ac:dyDescent="0.2">
      <c r="A3728" s="5">
        <v>3667</v>
      </c>
      <c r="B3728" s="1832">
        <f>'Tax Sched 23'!F13</f>
        <v>27643</v>
      </c>
      <c r="C3728" s="2" t="s">
        <v>569</v>
      </c>
      <c r="D3728" s="2" t="str">
        <f t="shared" si="57"/>
        <v>Error?</v>
      </c>
    </row>
    <row r="3729" spans="1:4" x14ac:dyDescent="0.2">
      <c r="A3729" s="5">
        <v>3668</v>
      </c>
      <c r="B3729" s="1832">
        <f>'Tax Sched 23'!E13</f>
        <v>27673</v>
      </c>
      <c r="D3729" s="2" t="str">
        <f t="shared" si="57"/>
        <v>Error?</v>
      </c>
    </row>
    <row r="3730" spans="1:4" x14ac:dyDescent="0.2">
      <c r="A3730" s="5">
        <v>3669</v>
      </c>
      <c r="B3730" s="1832">
        <f>'ICR Computation 30'!E10</f>
        <v>93107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2265003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7697120</v>
      </c>
      <c r="C4122" s="2" t="s">
        <v>569</v>
      </c>
      <c r="D4122" s="2" t="str">
        <f t="shared" si="63"/>
        <v>Error?</v>
      </c>
    </row>
    <row r="4123" spans="1:4" x14ac:dyDescent="0.2">
      <c r="A4123" s="5">
        <v>4062</v>
      </c>
      <c r="B4123" s="1832">
        <f>'Acct Summary 7-8'!D10</f>
        <v>282944</v>
      </c>
      <c r="C4123" s="2" t="s">
        <v>569</v>
      </c>
      <c r="D4123" s="2" t="str">
        <f t="shared" si="63"/>
        <v>Error?</v>
      </c>
    </row>
    <row r="4124" spans="1:4" x14ac:dyDescent="0.2">
      <c r="A4124" s="5">
        <v>4063</v>
      </c>
      <c r="B4124" s="1832">
        <f>'Acct Summary 7-8'!E10</f>
        <v>26746</v>
      </c>
      <c r="C4124" s="2" t="s">
        <v>569</v>
      </c>
      <c r="D4124" s="2" t="str">
        <f t="shared" si="63"/>
        <v>Error?</v>
      </c>
    </row>
    <row r="4125" spans="1:4" x14ac:dyDescent="0.2">
      <c r="A4125" s="5">
        <v>4064</v>
      </c>
      <c r="B4125" s="1832">
        <f>'Acct Summary 7-8'!F10</f>
        <v>285166</v>
      </c>
      <c r="C4125" s="2" t="s">
        <v>569</v>
      </c>
      <c r="D4125" s="2" t="str">
        <f t="shared" si="63"/>
        <v>Error?</v>
      </c>
    </row>
    <row r="4126" spans="1:4" x14ac:dyDescent="0.2">
      <c r="A4126" s="5">
        <v>4065</v>
      </c>
      <c r="B4126" s="1832">
        <f>'Acct Summary 7-8'!G10</f>
        <v>126342</v>
      </c>
      <c r="C4126" s="2" t="s">
        <v>569</v>
      </c>
      <c r="D4126" s="2" t="str">
        <f t="shared" si="63"/>
        <v>Error?</v>
      </c>
    </row>
    <row r="4127" spans="1:4" x14ac:dyDescent="0.2">
      <c r="A4127" s="5">
        <v>4066</v>
      </c>
      <c r="B4127" s="1832">
        <f>'Acct Summary 7-8'!H10</f>
        <v>187153</v>
      </c>
      <c r="C4127" s="2" t="s">
        <v>569</v>
      </c>
      <c r="D4127" s="2" t="str">
        <f t="shared" si="63"/>
        <v>Error?</v>
      </c>
    </row>
    <row r="4128" spans="1:4" x14ac:dyDescent="0.2">
      <c r="A4128" s="5">
        <v>4067</v>
      </c>
      <c r="B4128" s="1832">
        <f>'Acct Summary 7-8'!I10</f>
        <v>35250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27523</v>
      </c>
      <c r="C4130" s="2" t="s">
        <v>569</v>
      </c>
      <c r="D4130" s="2" t="str">
        <f t="shared" si="63"/>
        <v>Error?</v>
      </c>
    </row>
    <row r="4131" spans="1:4" x14ac:dyDescent="0.2">
      <c r="A4131" s="5">
        <v>4070</v>
      </c>
      <c r="B4131" s="1832">
        <f>'Acct Summary 7-8'!C18</f>
        <v>2265003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7509492</v>
      </c>
      <c r="C4136" s="2" t="s">
        <v>569</v>
      </c>
      <c r="D4136" s="2" t="str">
        <f t="shared" si="63"/>
        <v>Error?</v>
      </c>
    </row>
    <row r="4137" spans="1:4" x14ac:dyDescent="0.2">
      <c r="A4137" s="5">
        <v>4076</v>
      </c>
      <c r="B4137" s="1832">
        <f>'Acct Summary 7-8'!D19</f>
        <v>134560</v>
      </c>
      <c r="C4137" s="2" t="s">
        <v>569</v>
      </c>
      <c r="D4137" s="2" t="str">
        <f t="shared" si="63"/>
        <v>Error?</v>
      </c>
    </row>
    <row r="4138" spans="1:4" x14ac:dyDescent="0.2">
      <c r="A4138" s="5">
        <v>4077</v>
      </c>
      <c r="B4138" s="1832">
        <f>'Acct Summary 7-8'!E19</f>
        <v>177755</v>
      </c>
      <c r="C4138" s="2" t="s">
        <v>569</v>
      </c>
      <c r="D4138" s="2" t="str">
        <f t="shared" si="63"/>
        <v>Error?</v>
      </c>
    </row>
    <row r="4139" spans="1:4" x14ac:dyDescent="0.2">
      <c r="A4139" s="5">
        <v>4078</v>
      </c>
      <c r="B4139" s="1832">
        <f>'Acct Summary 7-8'!F19</f>
        <v>194547</v>
      </c>
      <c r="C4139" s="2" t="s">
        <v>569</v>
      </c>
      <c r="D4139" s="2" t="str">
        <f t="shared" si="63"/>
        <v>Error?</v>
      </c>
    </row>
    <row r="4140" spans="1:4" x14ac:dyDescent="0.2">
      <c r="A4140" s="5">
        <v>4079</v>
      </c>
      <c r="B4140" s="1832">
        <f>'Acct Summary 7-8'!G19</f>
        <v>197489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1713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2195917</v>
      </c>
      <c r="C4171" s="2" t="s">
        <v>569</v>
      </c>
      <c r="D4171" s="2" t="str">
        <f t="shared" si="64"/>
        <v>Error?</v>
      </c>
    </row>
    <row r="4172" spans="1:4" x14ac:dyDescent="0.2">
      <c r="A4172" s="5">
        <v>4111</v>
      </c>
      <c r="B4172" s="1832">
        <f>'Short-Term Long-Term Debt 24'!J49</f>
        <v>1981617</v>
      </c>
      <c r="C4172" s="2" t="s">
        <v>569</v>
      </c>
      <c r="D4172" s="2" t="str">
        <f t="shared" si="64"/>
        <v>Error?</v>
      </c>
    </row>
    <row r="4173" spans="1:4" x14ac:dyDescent="0.2">
      <c r="A4173" s="5">
        <v>4112</v>
      </c>
      <c r="B4173" s="1832">
        <f>'Short-Term Long-Term Debt 24'!H49</f>
        <v>151273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42273</v>
      </c>
      <c r="D4210" s="2" t="str">
        <f t="shared" si="64"/>
        <v>Error?</v>
      </c>
    </row>
    <row r="4211" spans="1:4" x14ac:dyDescent="0.2">
      <c r="A4211" s="5">
        <v>4150</v>
      </c>
      <c r="B4211" s="1832">
        <f>'Expenditures 15-22'!K206</f>
        <v>42273</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2115.0499999999997</v>
      </c>
      <c r="C4265" s="2" t="s">
        <v>569</v>
      </c>
      <c r="D4265" s="2" t="str">
        <f t="shared" si="65"/>
        <v>Error?</v>
      </c>
      <c r="E4265" s="125"/>
    </row>
    <row r="4266" spans="1:5" x14ac:dyDescent="0.2">
      <c r="A4266" s="12">
        <v>4205</v>
      </c>
      <c r="B4266" s="1832">
        <f>('FP Info 3'!F10)*100000</f>
        <v>516.9799999999999</v>
      </c>
      <c r="C4266" s="2" t="s">
        <v>569</v>
      </c>
      <c r="D4266" s="2" t="str">
        <f t="shared" si="65"/>
        <v>Error?</v>
      </c>
      <c r="E4266" s="125"/>
    </row>
    <row r="4267" spans="1:5" x14ac:dyDescent="0.2">
      <c r="A4267" s="12">
        <v>4206</v>
      </c>
      <c r="B4267" s="1832">
        <f>('FP Info 3'!H10)*100000</f>
        <v>222.04</v>
      </c>
      <c r="C4267" s="2" t="s">
        <v>569</v>
      </c>
      <c r="D4267" s="2" t="str">
        <f t="shared" si="65"/>
        <v>Error?</v>
      </c>
      <c r="E4267" s="125"/>
    </row>
    <row r="4268" spans="1:5" x14ac:dyDescent="0.2">
      <c r="A4268" s="12">
        <v>4207</v>
      </c>
      <c r="B4268" s="1832">
        <f>('FP Info 3'!J10)*100000</f>
        <v>2854</v>
      </c>
      <c r="C4268" s="2" t="s">
        <v>569</v>
      </c>
      <c r="D4268" s="2" t="str">
        <f t="shared" si="65"/>
        <v>Error?</v>
      </c>
    </row>
    <row r="4269" spans="1:5" x14ac:dyDescent="0.2">
      <c r="A4269" s="12">
        <v>4208</v>
      </c>
      <c r="B4269" s="1832">
        <f>'FP Info 3'!J16</f>
        <v>3506996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12892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394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22186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44270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48.78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58276</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6906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54924522</v>
      </c>
      <c r="D4995" s="2" t="str">
        <f t="shared" si="77"/>
        <v>Error?</v>
      </c>
    </row>
    <row r="4996" spans="1:4" x14ac:dyDescent="0.2">
      <c r="A4996" s="12">
        <v>4935</v>
      </c>
      <c r="B4996" s="1832">
        <f>'FP Info 3'!H31</f>
        <v>7579584.0360000003</v>
      </c>
      <c r="D4996" s="2" t="str">
        <f t="shared" si="77"/>
        <v>Error?</v>
      </c>
    </row>
    <row r="4997" spans="1:4" x14ac:dyDescent="0.2">
      <c r="A4997" s="12">
        <v>4936</v>
      </c>
      <c r="B4997" s="1832">
        <f>'FP Info 3'!H37</f>
        <v>2195917</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27632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1113671</v>
      </c>
      <c r="D5061" s="2" t="str">
        <f t="shared" si="78"/>
        <v>Error?</v>
      </c>
    </row>
    <row r="5062" spans="1:4" x14ac:dyDescent="0.2">
      <c r="A5062" s="10">
        <v>5001</v>
      </c>
      <c r="B5062" s="1832"/>
      <c r="D5062" s="2" t="str">
        <f t="shared" si="78"/>
        <v>OK</v>
      </c>
    </row>
    <row r="5063" spans="1:4" x14ac:dyDescent="0.2">
      <c r="A5063" s="5">
        <v>5002</v>
      </c>
      <c r="B5063" s="1832">
        <f>'Revenues 9-14'!C7</f>
        <v>22105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1163408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64944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64944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17218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17218</v>
      </c>
      <c r="C5090" s="2" t="s">
        <v>569</v>
      </c>
      <c r="D5090" s="2" t="str">
        <f t="shared" si="78"/>
        <v>Error?</v>
      </c>
    </row>
    <row r="5091" spans="1:4" x14ac:dyDescent="0.2">
      <c r="A5091" s="5">
        <v>5030</v>
      </c>
      <c r="B5091" s="1832">
        <f>'Revenues 9-14'!C70</f>
        <v>5146</v>
      </c>
      <c r="D5091" s="2" t="str">
        <f t="shared" si="78"/>
        <v>Error?</v>
      </c>
    </row>
    <row r="5092" spans="1:4" x14ac:dyDescent="0.2">
      <c r="A5092" s="5">
        <v>5031</v>
      </c>
      <c r="B5092" s="1832">
        <f>'Revenues 9-14'!C71</f>
        <v>11620</v>
      </c>
      <c r="D5092" s="2" t="str">
        <f t="shared" si="78"/>
        <v>Error?</v>
      </c>
    </row>
    <row r="5093" spans="1:4" x14ac:dyDescent="0.2">
      <c r="A5093" s="5">
        <v>5032</v>
      </c>
      <c r="B5093" s="1832">
        <f>'Revenues 9-14'!C72</f>
        <v>1611</v>
      </c>
      <c r="D5093" s="2" t="str">
        <f t="shared" si="78"/>
        <v>Error?</v>
      </c>
    </row>
    <row r="5094" spans="1:4" x14ac:dyDescent="0.2">
      <c r="A5094" s="5">
        <v>5033</v>
      </c>
      <c r="B5094" s="1832">
        <f>'Revenues 9-14'!C73</f>
        <v>2121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57062</v>
      </c>
      <c r="C5096" s="2" t="s">
        <v>569</v>
      </c>
      <c r="D5096" s="2" t="str">
        <f t="shared" si="78"/>
        <v>Error?</v>
      </c>
    </row>
    <row r="5097" spans="1:4" x14ac:dyDescent="0.2">
      <c r="A5097" s="5">
        <v>5036</v>
      </c>
      <c r="B5097" s="1832">
        <f>'Revenues 9-14'!C77</f>
        <v>19609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9408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10998</v>
      </c>
      <c r="D5101" s="2" t="str">
        <f t="shared" si="78"/>
        <v>Error?</v>
      </c>
    </row>
    <row r="5102" spans="1:4" x14ac:dyDescent="0.2">
      <c r="A5102" s="5">
        <v>5041</v>
      </c>
      <c r="B5102" s="1832">
        <f>'Revenues 9-14'!C82</f>
        <v>40015</v>
      </c>
      <c r="C5102" s="2" t="s">
        <v>569</v>
      </c>
      <c r="D5102" s="2" t="str">
        <f t="shared" si="78"/>
        <v>Error?</v>
      </c>
    </row>
    <row r="5103" spans="1:4" x14ac:dyDescent="0.2">
      <c r="A5103" s="5">
        <v>5042</v>
      </c>
      <c r="B5103" s="1832">
        <f>'Revenues 9-14'!C84</f>
        <v>31032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31032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49997</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86866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8851</v>
      </c>
      <c r="D5118" s="2" t="str">
        <f t="shared" si="78"/>
        <v>Error?</v>
      </c>
    </row>
    <row r="5119" spans="1:4" x14ac:dyDescent="0.2">
      <c r="A5119" s="5">
        <v>5058</v>
      </c>
      <c r="B5119" s="1832">
        <f>'Revenues 9-14'!C107</f>
        <v>22831</v>
      </c>
      <c r="D5119" s="2" t="str">
        <f t="shared" ref="D5119:D5182" si="79">IF(ISBLANK(B5119),"OK",IF(A5119-B5119=0,"OK","Error?"))</f>
        <v>Error?</v>
      </c>
    </row>
    <row r="5120" spans="1:4" x14ac:dyDescent="0.2">
      <c r="A5120" s="5">
        <v>5059</v>
      </c>
      <c r="B5120" s="1832">
        <f>'Revenues 9-14'!C108</f>
        <v>168545</v>
      </c>
      <c r="C5120" s="2" t="s">
        <v>569</v>
      </c>
      <c r="D5120" s="2" t="str">
        <f t="shared" si="79"/>
        <v>Error?</v>
      </c>
    </row>
    <row r="5121" spans="1:4" x14ac:dyDescent="0.2">
      <c r="A5121" s="5">
        <v>5060</v>
      </c>
      <c r="B5121" s="1832">
        <f>'Revenues 9-14'!C109</f>
        <v>1542224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23797</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23797</v>
      </c>
      <c r="C5125" s="2" t="s">
        <v>569</v>
      </c>
      <c r="D5125" s="2" t="str">
        <f t="shared" si="79"/>
        <v>Error?</v>
      </c>
    </row>
    <row r="5126" spans="1:4" x14ac:dyDescent="0.2">
      <c r="A5126" s="5">
        <v>5065</v>
      </c>
      <c r="B5126" s="1832">
        <f>'Revenues 9-14'!C117</f>
        <v>3014857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3014857</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2173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1251</v>
      </c>
      <c r="D5167" s="2" t="str">
        <f t="shared" si="79"/>
        <v>Error?</v>
      </c>
    </row>
    <row r="5168" spans="1:4" x14ac:dyDescent="0.2">
      <c r="A5168" s="5">
        <v>5107</v>
      </c>
      <c r="B5168" s="1832">
        <f>'Revenues 9-14'!C148</f>
        <v>5333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161122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228155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3243012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62981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17507</v>
      </c>
      <c r="D5241" s="2" t="str">
        <f t="shared" si="80"/>
        <v>Error?</v>
      </c>
    </row>
    <row r="5242" spans="1:4" x14ac:dyDescent="0.2">
      <c r="A5242" s="5">
        <v>5181</v>
      </c>
      <c r="B5242" s="1832">
        <f>'Revenues 9-14'!C194</f>
        <v>52129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132617</v>
      </c>
      <c r="C5246" s="2" t="s">
        <v>569</v>
      </c>
      <c r="D5246" s="2" t="str">
        <f t="shared" si="80"/>
        <v>Error?</v>
      </c>
    </row>
    <row r="5247" spans="1:4" x14ac:dyDescent="0.2">
      <c r="A5247" s="5">
        <v>5186</v>
      </c>
      <c r="B5247" s="1832">
        <f>'Revenues 9-14'!C200</f>
        <v>175196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22186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175196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210140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210140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18483</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18483</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623084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623084</v>
      </c>
      <c r="C5326" s="2" t="s">
        <v>569</v>
      </c>
      <c r="D5326" s="2" t="str">
        <f t="shared" si="82"/>
        <v>Error?</v>
      </c>
    </row>
    <row r="5327" spans="1:5" x14ac:dyDescent="0.2">
      <c r="A5327" s="5">
        <v>5266</v>
      </c>
      <c r="B5327" s="1832">
        <f>'Revenues 9-14'!C268</f>
        <v>5432117</v>
      </c>
      <c r="C5327" s="2" t="s">
        <v>569</v>
      </c>
      <c r="D5327" s="2" t="str">
        <f t="shared" si="82"/>
        <v>Error?</v>
      </c>
    </row>
    <row r="5328" spans="1:5" x14ac:dyDescent="0.2">
      <c r="A5328" s="5">
        <v>5267</v>
      </c>
      <c r="B5328" s="1832">
        <f>'Revenues 9-14'!D5</f>
        <v>274964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274964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7200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7200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780</v>
      </c>
      <c r="D5354" s="2" t="str">
        <f t="shared" si="82"/>
        <v>Error?</v>
      </c>
    </row>
    <row r="5355" spans="1:4" x14ac:dyDescent="0.2">
      <c r="A5355" s="5">
        <v>5294</v>
      </c>
      <c r="B5355" s="1832">
        <f>'Revenues 9-14'!D108</f>
        <v>780</v>
      </c>
      <c r="C5355" s="2" t="s">
        <v>569</v>
      </c>
      <c r="D5355" s="2" t="str">
        <f t="shared" si="82"/>
        <v>Error?</v>
      </c>
    </row>
    <row r="5356" spans="1:4" x14ac:dyDescent="0.2">
      <c r="A5356" s="5">
        <v>5295</v>
      </c>
      <c r="B5356" s="1832">
        <f>'Revenues 9-14'!D109</f>
        <v>282944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282944</v>
      </c>
      <c r="C5508" s="2" t="s">
        <v>569</v>
      </c>
      <c r="D5508" s="2" t="str">
        <f t="shared" si="85"/>
        <v>Error?</v>
      </c>
    </row>
    <row r="5509" spans="1:4" x14ac:dyDescent="0.2">
      <c r="A5509" s="5">
        <v>5448</v>
      </c>
      <c r="B5509" s="1832">
        <f>'Revenues 9-14'!E5</f>
        <v>20335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20335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6411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6411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26746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26746</v>
      </c>
      <c r="C5552" s="2" t="s">
        <v>569</v>
      </c>
      <c r="D5552" s="2" t="str">
        <f t="shared" si="85"/>
        <v>Error?</v>
      </c>
    </row>
    <row r="5553" spans="1:4" x14ac:dyDescent="0.2">
      <c r="A5553" s="5">
        <v>5492</v>
      </c>
      <c r="B5553" s="1832">
        <f>'Revenues 9-14'!F5</f>
        <v>112123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112123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981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981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100</v>
      </c>
      <c r="D5586" s="2" t="str">
        <f t="shared" si="86"/>
        <v>Error?</v>
      </c>
    </row>
    <row r="5587" spans="1:4" x14ac:dyDescent="0.2">
      <c r="A5587" s="5">
        <v>5526</v>
      </c>
      <c r="B5587" s="1832">
        <f>'Revenues 9-14'!F108</f>
        <v>100</v>
      </c>
      <c r="C5587" s="2" t="s">
        <v>569</v>
      </c>
      <c r="D5587" s="2" t="str">
        <f t="shared" si="86"/>
        <v>Error?</v>
      </c>
    </row>
    <row r="5588" spans="1:4" x14ac:dyDescent="0.2">
      <c r="A5588" s="5">
        <v>5527</v>
      </c>
      <c r="B5588" s="1832">
        <f>'Revenues 9-14'!F109</f>
        <v>113204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109157</v>
      </c>
      <c r="D5615" s="2" t="str">
        <f t="shared" si="86"/>
        <v>Error?</v>
      </c>
    </row>
    <row r="5616" spans="1:4" x14ac:dyDescent="0.2">
      <c r="A5616" s="10">
        <v>5555</v>
      </c>
      <c r="B5616" s="1832"/>
      <c r="D5616" s="2" t="str">
        <f t="shared" si="86"/>
        <v>OK</v>
      </c>
    </row>
    <row r="5617" spans="1:5" x14ac:dyDescent="0.2">
      <c r="A5617" s="5">
        <v>5556</v>
      </c>
      <c r="B5617" s="1832">
        <f>'Revenues 9-14'!F153</f>
        <v>32805</v>
      </c>
      <c r="D5617" s="2" t="str">
        <f t="shared" si="86"/>
        <v>Error?</v>
      </c>
    </row>
    <row r="5618" spans="1:5" x14ac:dyDescent="0.2">
      <c r="A5618" s="5">
        <v>5557</v>
      </c>
      <c r="B5618" s="1832">
        <f>'Revenues 9-14'!F155</f>
        <v>141962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141962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171962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285166</v>
      </c>
      <c r="C5720" s="2" t="s">
        <v>569</v>
      </c>
      <c r="D5720" s="2" t="str">
        <f t="shared" si="88"/>
        <v>Error?</v>
      </c>
    </row>
    <row r="5721" spans="1:4" x14ac:dyDescent="0.2">
      <c r="A5721" s="5">
        <v>5660</v>
      </c>
      <c r="B5721" s="1832">
        <f>'Revenues 9-14'!G5</f>
        <v>45463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63651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109114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9482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9482</v>
      </c>
      <c r="C5730" s="2" t="s">
        <v>569</v>
      </c>
      <c r="D5730" s="2" t="str">
        <f t="shared" si="88"/>
        <v>Error?</v>
      </c>
    </row>
    <row r="5731" spans="1:4" x14ac:dyDescent="0.2">
      <c r="A5731" s="5">
        <v>5670</v>
      </c>
      <c r="B5731" s="1832">
        <f>'Revenues 9-14'!G65</f>
        <v>7746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7746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126342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1633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1633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185520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187153</v>
      </c>
      <c r="C5915" s="2" t="s">
        <v>569</v>
      </c>
      <c r="D5915" s="2" t="str">
        <f t="shared" si="91"/>
        <v>Error?</v>
      </c>
    </row>
    <row r="5916" spans="1:4" x14ac:dyDescent="0.2">
      <c r="A5916" s="5">
        <v>5855</v>
      </c>
      <c r="B5916" s="1832">
        <f>'Revenues 9-14'!I5</f>
        <v>26392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26392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8858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8858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35250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27494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27494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27523</v>
      </c>
      <c r="C6023" s="2" t="s">
        <v>569</v>
      </c>
      <c r="D6023" s="2" t="str">
        <f t="shared" si="93"/>
        <v>Error?</v>
      </c>
    </row>
    <row r="6024" spans="1:5" x14ac:dyDescent="0.2">
      <c r="A6024" s="5">
        <v>5963</v>
      </c>
      <c r="B6024" s="1832">
        <f>'Revenues 9-14'!G109</f>
        <v>126342</v>
      </c>
      <c r="C6024" s="2" t="s">
        <v>569</v>
      </c>
      <c r="D6024" s="2" t="str">
        <f t="shared" si="93"/>
        <v>Error?</v>
      </c>
    </row>
    <row r="6025" spans="1:5" x14ac:dyDescent="0.2">
      <c r="A6025" s="5">
        <v>5964</v>
      </c>
      <c r="B6025" s="1832">
        <f>'Revenues 9-14'!H109</f>
        <v>187153</v>
      </c>
      <c r="C6025" s="2" t="s">
        <v>569</v>
      </c>
      <c r="D6025" s="2" t="str">
        <f t="shared" si="93"/>
        <v>Error?</v>
      </c>
    </row>
    <row r="6026" spans="1:5" x14ac:dyDescent="0.2">
      <c r="A6026" s="5">
        <v>5965</v>
      </c>
      <c r="B6026" s="1832">
        <f>'Revenues 9-14'!I109</f>
        <v>35250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27523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36564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11520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537.20000000000005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887529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887529</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887529</v>
      </c>
      <c r="D6216" s="2" t="str">
        <f t="shared" si="96"/>
        <v>Error?</v>
      </c>
      <c r="E6216" s="2" t="s">
        <v>189</v>
      </c>
    </row>
    <row r="6217" spans="1:5" x14ac:dyDescent="0.2">
      <c r="A6217">
        <v>6156</v>
      </c>
      <c r="B6217" s="1832">
        <f>'Assets-Liab 5-6'!J4</f>
        <v>637529</v>
      </c>
      <c r="D6217" s="2" t="str">
        <f t="shared" si="96"/>
        <v>Error?</v>
      </c>
      <c r="E6217" s="2" t="s">
        <v>189</v>
      </c>
    </row>
    <row r="6218" spans="1:5" x14ac:dyDescent="0.2">
      <c r="A6218">
        <v>6157</v>
      </c>
      <c r="B6218" s="1832">
        <f>'Assets-Liab 5-6'!J5</f>
        <v>250000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329805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329805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329805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201503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201503</v>
      </c>
      <c r="D6229" s="2" t="str">
        <f t="shared" si="96"/>
        <v>Error?</v>
      </c>
      <c r="E6229" s="2" t="s">
        <v>189</v>
      </c>
    </row>
    <row r="6230" spans="1:5" x14ac:dyDescent="0.2">
      <c r="A6230">
        <v>6169</v>
      </c>
      <c r="B6230" s="1832">
        <f>'Acct Summary 7-8'!J20</f>
        <v>128302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128302</v>
      </c>
      <c r="D6263" s="2" t="str">
        <f t="shared" si="96"/>
        <v>Error?</v>
      </c>
      <c r="E6263" s="2" t="s">
        <v>189</v>
      </c>
    </row>
    <row r="6264" spans="1:5" x14ac:dyDescent="0.2">
      <c r="A6264">
        <v>6203</v>
      </c>
      <c r="B6264" s="1832">
        <f>'Acct Summary 7-8'!J79</f>
        <v>759227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887529</v>
      </c>
      <c r="D6266" s="2" t="str">
        <f t="shared" si="96"/>
        <v>Error?</v>
      </c>
      <c r="E6266" s="2" t="s">
        <v>189</v>
      </c>
    </row>
    <row r="6267" spans="1:5" x14ac:dyDescent="0.2">
      <c r="A6267">
        <v>6206</v>
      </c>
      <c r="B6267" s="1832">
        <f>'Acct Summary 7-8'!C82</f>
        <v>187628</v>
      </c>
      <c r="D6267" s="2" t="str">
        <f t="shared" si="96"/>
        <v>Error?</v>
      </c>
      <c r="E6267" s="2" t="s">
        <v>189</v>
      </c>
    </row>
    <row r="6268" spans="1:5" x14ac:dyDescent="0.2">
      <c r="A6268">
        <v>6207</v>
      </c>
      <c r="B6268" s="1832">
        <f>'Acct Summary 7-8'!D82</f>
        <v>148384</v>
      </c>
      <c r="D6268" s="2" t="str">
        <f t="shared" si="96"/>
        <v>Error?</v>
      </c>
      <c r="E6268" s="2" t="s">
        <v>189</v>
      </c>
    </row>
    <row r="6269" spans="1:5" x14ac:dyDescent="0.2">
      <c r="A6269">
        <v>6208</v>
      </c>
      <c r="B6269" s="1832">
        <f>'Acct Summary 7-8'!E82</f>
        <v>8991</v>
      </c>
      <c r="D6269" s="2" t="str">
        <f t="shared" si="96"/>
        <v>Error?</v>
      </c>
      <c r="E6269" s="2" t="s">
        <v>189</v>
      </c>
    </row>
    <row r="6270" spans="1:5" x14ac:dyDescent="0.2">
      <c r="A6270">
        <v>6209</v>
      </c>
      <c r="B6270" s="1832">
        <f>'Acct Summary 7-8'!F82</f>
        <v>90619</v>
      </c>
      <c r="D6270" s="2" t="str">
        <f t="shared" si="96"/>
        <v>Error?</v>
      </c>
      <c r="E6270" s="2" t="s">
        <v>189</v>
      </c>
    </row>
    <row r="6271" spans="1:5" x14ac:dyDescent="0.2">
      <c r="A6271">
        <v>6210</v>
      </c>
      <c r="B6271" s="1832">
        <f>'Acct Summary 7-8'!G82</f>
        <v>-71147</v>
      </c>
      <c r="D6271" s="2" t="str">
        <f t="shared" ref="D6271:D6334" si="97">IF(ISBLANK(B6271),"OK",IF(A6271-B6271=0,"OK","Error?"))</f>
        <v>Error?</v>
      </c>
      <c r="E6271" s="2" t="s">
        <v>189</v>
      </c>
    </row>
    <row r="6272" spans="1:5" x14ac:dyDescent="0.2">
      <c r="A6272">
        <v>6211</v>
      </c>
      <c r="B6272" s="1832">
        <f>'Acct Summary 7-8'!H82</f>
        <v>27153</v>
      </c>
      <c r="D6272" s="2" t="str">
        <f t="shared" si="97"/>
        <v>Error?</v>
      </c>
      <c r="E6272" s="2" t="s">
        <v>189</v>
      </c>
    </row>
    <row r="6273" spans="1:5" x14ac:dyDescent="0.2">
      <c r="A6273">
        <v>6212</v>
      </c>
      <c r="B6273" s="1832">
        <f>'Acct Summary 7-8'!I82</f>
        <v>35250</v>
      </c>
      <c r="D6273" s="2" t="str">
        <f t="shared" si="97"/>
        <v>Error?</v>
      </c>
      <c r="E6273" s="2" t="s">
        <v>189</v>
      </c>
    </row>
    <row r="6274" spans="1:5" x14ac:dyDescent="0.2">
      <c r="A6274">
        <v>6213</v>
      </c>
      <c r="B6274" s="1832">
        <f>'Acct Summary 7-8'!J82</f>
        <v>128302</v>
      </c>
      <c r="D6274" s="2" t="str">
        <f t="shared" si="97"/>
        <v>Error?</v>
      </c>
      <c r="E6274" s="2" t="s">
        <v>189</v>
      </c>
    </row>
    <row r="6275" spans="1:5" x14ac:dyDescent="0.2">
      <c r="A6275">
        <v>6214</v>
      </c>
      <c r="B6275" s="1832">
        <f>'Acct Summary 7-8'!K82</f>
        <v>25810</v>
      </c>
      <c r="D6275" s="2" t="str">
        <f t="shared" si="97"/>
        <v>Error?</v>
      </c>
      <c r="E6275" s="2" t="s">
        <v>189</v>
      </c>
    </row>
    <row r="6276" spans="1:5" x14ac:dyDescent="0.2">
      <c r="A6276">
        <v>6215</v>
      </c>
      <c r="B6276" s="1832">
        <f>'Acct Summary 7-8'!C83</f>
        <v>0.10799224828064125</v>
      </c>
      <c r="D6276" s="2" t="str">
        <f t="shared" si="97"/>
        <v>Error?</v>
      </c>
      <c r="E6276" s="2" t="s">
        <v>189</v>
      </c>
    </row>
    <row r="6277" spans="1:5" x14ac:dyDescent="0.2">
      <c r="A6277">
        <v>6216</v>
      </c>
      <c r="B6277" s="1832">
        <f>'Acct Summary 7-8'!D83</f>
        <v>0.17980229308995205</v>
      </c>
      <c r="D6277" s="2" t="str">
        <f t="shared" si="97"/>
        <v>Error?</v>
      </c>
      <c r="E6277" s="2" t="s">
        <v>189</v>
      </c>
    </row>
    <row r="6278" spans="1:5" x14ac:dyDescent="0.2">
      <c r="A6278">
        <v>6217</v>
      </c>
      <c r="B6278" s="1832">
        <f>'Acct Summary 7-8'!E83</f>
        <v>4.1955202986467571E-2</v>
      </c>
      <c r="D6278" s="2" t="str">
        <f t="shared" si="97"/>
        <v>Error?</v>
      </c>
      <c r="E6278" s="2" t="s">
        <v>189</v>
      </c>
    </row>
    <row r="6279" spans="1:5" x14ac:dyDescent="0.2">
      <c r="A6279">
        <v>6218</v>
      </c>
      <c r="B6279" s="1832">
        <f>'Acct Summary 7-8'!F83</f>
        <v>0.64113285506077455</v>
      </c>
      <c r="D6279" s="2" t="str">
        <f t="shared" si="97"/>
        <v>Error?</v>
      </c>
      <c r="E6279" s="2" t="s">
        <v>189</v>
      </c>
    </row>
    <row r="6280" spans="1:5" x14ac:dyDescent="0.2">
      <c r="A6280">
        <v>6219</v>
      </c>
      <c r="B6280" s="1832">
        <f>'Acct Summary 7-8'!G83</f>
        <v>-0.13265798899535539</v>
      </c>
      <c r="D6280" s="2" t="str">
        <f t="shared" si="97"/>
        <v>Error?</v>
      </c>
      <c r="E6280" s="2" t="s">
        <v>189</v>
      </c>
    </row>
    <row r="6281" spans="1:5" x14ac:dyDescent="0.2">
      <c r="A6281">
        <v>6220</v>
      </c>
      <c r="B6281" s="1832">
        <f>'Acct Summary 7-8'!H83</f>
        <v>0.12846133102459656</v>
      </c>
      <c r="D6281" s="2" t="str">
        <f t="shared" si="97"/>
        <v>Error?</v>
      </c>
      <c r="E6281" s="2" t="s">
        <v>189</v>
      </c>
    </row>
    <row r="6282" spans="1:5" x14ac:dyDescent="0.2">
      <c r="A6282">
        <v>6221</v>
      </c>
      <c r="B6282" s="1832">
        <f>'Acct Summary 7-8'!I83</f>
        <v>4.3899468349417353E-2</v>
      </c>
      <c r="D6282" s="2" t="str">
        <f t="shared" si="97"/>
        <v>Error?</v>
      </c>
      <c r="E6282" s="2" t="s">
        <v>189</v>
      </c>
    </row>
    <row r="6283" spans="1:5" x14ac:dyDescent="0.2">
      <c r="A6283">
        <v>6222</v>
      </c>
      <c r="B6283" s="1832">
        <f>'Acct Summary 7-8'!J83</f>
        <v>0.14456091012237346</v>
      </c>
      <c r="D6283" s="2" t="str">
        <f t="shared" si="97"/>
        <v>Error?</v>
      </c>
      <c r="E6283" s="2" t="s">
        <v>189</v>
      </c>
    </row>
    <row r="6284" spans="1:5" x14ac:dyDescent="0.2">
      <c r="A6284">
        <v>6223</v>
      </c>
      <c r="B6284" s="1832">
        <f>'Acct Summary 7-8'!K83</f>
        <v>0.29751132525676344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323176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323176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6629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6629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329805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2173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115177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152348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201503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329805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6330</v>
      </c>
      <c r="D7067" s="2" t="str">
        <f t="shared" si="109"/>
        <v>Error?</v>
      </c>
    </row>
    <row r="7068" spans="1:4" x14ac:dyDescent="0.2">
      <c r="A7068">
        <v>7007</v>
      </c>
      <c r="B7068" s="1832">
        <f>'Expenditures 15-22'!K205</f>
        <v>6330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7650</v>
      </c>
      <c r="D7073" s="2" t="str">
        <f t="shared" si="109"/>
        <v>Error?</v>
      </c>
    </row>
    <row r="7074" spans="1:4" x14ac:dyDescent="0.2">
      <c r="A7074">
        <v>7013</v>
      </c>
      <c r="B7074" s="1832">
        <f>'Expenditures 15-22'!K216</f>
        <v>7650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5482</v>
      </c>
      <c r="D7083" s="2" t="str">
        <f t="shared" si="109"/>
        <v>Error?</v>
      </c>
    </row>
    <row r="7084" spans="1:4" x14ac:dyDescent="0.2">
      <c r="A7084">
        <v>7023</v>
      </c>
      <c r="B7084" s="1832">
        <f>'Expenditures 15-22'!K249</f>
        <v>5482</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73367</v>
      </c>
      <c r="D7127" s="2" t="str">
        <f t="shared" si="110"/>
        <v>Error?</v>
      </c>
    </row>
    <row r="7128" spans="1:4" x14ac:dyDescent="0.2">
      <c r="A7128">
        <v>7067</v>
      </c>
      <c r="B7128" s="1832">
        <f>'Expenditures 15-22'!D320</f>
        <v>7500</v>
      </c>
      <c r="D7128" s="2" t="str">
        <f t="shared" si="110"/>
        <v>Error?</v>
      </c>
    </row>
    <row r="7129" spans="1:4" x14ac:dyDescent="0.2">
      <c r="A7129">
        <v>7068</v>
      </c>
      <c r="B7129" s="1832">
        <f>'Expenditures 15-22'!E320</f>
        <v>116305</v>
      </c>
      <c r="D7129" s="2" t="str">
        <f t="shared" si="110"/>
        <v>Error?</v>
      </c>
    </row>
    <row r="7130" spans="1:4" x14ac:dyDescent="0.2">
      <c r="A7130">
        <v>7069</v>
      </c>
      <c r="B7130" s="1832">
        <f>'Expenditures 15-22'!F320</f>
        <v>4331</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201503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73367</v>
      </c>
      <c r="D7199" s="2" t="str">
        <f t="shared" si="111"/>
        <v>Error?</v>
      </c>
    </row>
    <row r="7200" spans="1:4" x14ac:dyDescent="0.2">
      <c r="A7200">
        <v>7139</v>
      </c>
      <c r="B7200" s="1832">
        <f>'Expenditures 15-22'!D330</f>
        <v>7500</v>
      </c>
      <c r="D7200" s="2" t="str">
        <f t="shared" si="111"/>
        <v>Error?</v>
      </c>
    </row>
    <row r="7201" spans="1:4" x14ac:dyDescent="0.2">
      <c r="A7201">
        <v>7140</v>
      </c>
      <c r="B7201" s="1832">
        <f>'Expenditures 15-22'!E330</f>
        <v>116305</v>
      </c>
      <c r="D7201" s="2" t="str">
        <f t="shared" si="111"/>
        <v>Error?</v>
      </c>
    </row>
    <row r="7202" spans="1:4" x14ac:dyDescent="0.2">
      <c r="A7202">
        <v>7141</v>
      </c>
      <c r="B7202" s="1832">
        <f>'Expenditures 15-22'!F330</f>
        <v>4331</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201503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73367</v>
      </c>
      <c r="D7216" s="2" t="str">
        <f t="shared" si="111"/>
        <v>Error?</v>
      </c>
    </row>
    <row r="7217" spans="1:4" x14ac:dyDescent="0.2">
      <c r="A7217">
        <v>7156</v>
      </c>
      <c r="B7217" s="1832">
        <f>'Expenditures 15-22'!D342</f>
        <v>7500</v>
      </c>
      <c r="D7217" s="2" t="str">
        <f t="shared" si="111"/>
        <v>Error?</v>
      </c>
    </row>
    <row r="7218" spans="1:4" x14ac:dyDescent="0.2">
      <c r="A7218">
        <v>7157</v>
      </c>
      <c r="B7218" s="1832">
        <f>'Expenditures 15-22'!E342</f>
        <v>116305</v>
      </c>
      <c r="D7218" s="2" t="str">
        <f t="shared" si="111"/>
        <v>Error?</v>
      </c>
    </row>
    <row r="7219" spans="1:4" x14ac:dyDescent="0.2">
      <c r="A7219">
        <v>7158</v>
      </c>
      <c r="B7219" s="1832">
        <f>'Expenditures 15-22'!F342</f>
        <v>4331</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201503</v>
      </c>
      <c r="D7224" s="2" t="str">
        <f t="shared" si="111"/>
        <v>Error?</v>
      </c>
    </row>
    <row r="7225" spans="1:4" x14ac:dyDescent="0.2">
      <c r="A7225">
        <v>7164</v>
      </c>
      <c r="B7225" s="1832">
        <f>'Expenditures 15-22'!K343</f>
        <v>128302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28490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8681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198680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184218</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1633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185520</v>
      </c>
      <c r="D7713" s="2" t="str">
        <f t="shared" si="126"/>
        <v>Error?</v>
      </c>
      <c r="E7713" s="2" t="s">
        <v>822</v>
      </c>
    </row>
    <row r="7714" spans="1:6" x14ac:dyDescent="0.2">
      <c r="A7714">
        <v>7653</v>
      </c>
      <c r="B7714" s="1832">
        <f>'Rest Tax Levies-Tort Im 25'!K9</f>
        <v>5333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187153</v>
      </c>
      <c r="D7718" s="2" t="str">
        <f t="shared" si="126"/>
        <v>Error?</v>
      </c>
      <c r="E7718" s="2" t="s">
        <v>822</v>
      </c>
    </row>
    <row r="7719" spans="1:6" x14ac:dyDescent="0.2">
      <c r="A7719">
        <v>7658</v>
      </c>
      <c r="B7719" s="1832">
        <f>'Rest Tax Levies-Tort Im 25'!K12</f>
        <v>5333</v>
      </c>
      <c r="D7719" s="2" t="str">
        <f t="shared" si="126"/>
        <v>Error?</v>
      </c>
      <c r="E7719" s="2" t="s">
        <v>822</v>
      </c>
    </row>
    <row r="7720" spans="1:6" x14ac:dyDescent="0.2">
      <c r="A7720">
        <v>7659</v>
      </c>
      <c r="B7720" s="1832">
        <f>'Rest Tax Levies-Tort Im 25'!H14</f>
        <v>22105</v>
      </c>
      <c r="D7720" s="2" t="str">
        <f t="shared" si="126"/>
        <v>Error?</v>
      </c>
      <c r="E7720" s="2" t="s">
        <v>822</v>
      </c>
    </row>
    <row r="7721" spans="1:6" x14ac:dyDescent="0.2">
      <c r="A7721">
        <v>7660</v>
      </c>
      <c r="B7721" s="1832">
        <f>'Rest Tax Levies-Tort Im 25'!K14</f>
        <v>5333</v>
      </c>
      <c r="D7721" s="2" t="str">
        <f t="shared" si="126"/>
        <v>Error?</v>
      </c>
      <c r="E7721" s="2" t="s">
        <v>822</v>
      </c>
    </row>
    <row r="7722" spans="1:6" x14ac:dyDescent="0.2">
      <c r="A7722">
        <v>7661</v>
      </c>
      <c r="B7722" s="1832">
        <f>'Rest Tax Levies-Tort Im 25'!J15</f>
        <v>160000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160000</v>
      </c>
      <c r="D7730" s="2" t="str">
        <f t="shared" si="126"/>
        <v>Error?</v>
      </c>
      <c r="E7730" s="2" t="s">
        <v>822</v>
      </c>
    </row>
    <row r="7731" spans="1:6" x14ac:dyDescent="0.2">
      <c r="A7731">
        <v>7670</v>
      </c>
      <c r="B7731" s="1832">
        <f>'Revenues 9-14'!H103</f>
        <v>185520</v>
      </c>
      <c r="D7731" s="2" t="str">
        <f t="shared" si="126"/>
        <v>Error?</v>
      </c>
      <c r="E7731" s="2" t="s">
        <v>822</v>
      </c>
    </row>
    <row r="7732" spans="1:6" x14ac:dyDescent="0.2">
      <c r="A7732">
        <v>7671</v>
      </c>
      <c r="B7732" s="1832">
        <f>'Rest Tax Levies-Tort Im 25'!J24</f>
        <v>211371</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211371</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5333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2559768</v>
      </c>
      <c r="D7817" s="2" t="str">
        <f t="shared" si="128"/>
        <v>Error?</v>
      </c>
      <c r="E7817" s="4" t="s">
        <v>1966</v>
      </c>
    </row>
    <row r="7818" spans="1:5" x14ac:dyDescent="0.2">
      <c r="A7818">
        <v>7757</v>
      </c>
      <c r="B7818" s="1832">
        <f>'PCTC-OEPP 27-28'!F172</f>
        <v>143024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6150343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152348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72435</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1304</v>
      </c>
      <c r="D7833" s="2" t="str">
        <f t="shared" si="129"/>
        <v>Error?</v>
      </c>
      <c r="E7833" s="4" t="s">
        <v>1998</v>
      </c>
    </row>
    <row r="7834" spans="1:5" x14ac:dyDescent="0.2">
      <c r="A7834">
        <v>7773</v>
      </c>
      <c r="B7834" s="1832">
        <f>'PCTC-OEPP 27-28'!F77</f>
        <v>779427</v>
      </c>
      <c r="D7834" s="2" t="str">
        <f t="shared" si="129"/>
        <v>Error?</v>
      </c>
      <c r="E7834" s="4" t="s">
        <v>1998</v>
      </c>
    </row>
    <row r="7835" spans="1:5" x14ac:dyDescent="0.2">
      <c r="A7835">
        <v>7774</v>
      </c>
      <c r="B7835" s="1832">
        <f>'PCTC-OEPP 27-28'!F78</f>
        <v>5370916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9997.9821295606835</v>
      </c>
      <c r="D7837" s="2" t="str">
        <f t="shared" si="129"/>
        <v>Error?</v>
      </c>
      <c r="E7837" s="4" t="s">
        <v>1998</v>
      </c>
    </row>
    <row r="7838" spans="1:5" x14ac:dyDescent="0.2">
      <c r="A7838">
        <v>7777</v>
      </c>
      <c r="B7838" s="1832">
        <f>'PCTC-OEPP 27-28'!F96</f>
        <v>40015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2173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5333</v>
      </c>
      <c r="D7846" s="2" t="str">
        <f t="shared" si="129"/>
        <v>Error?</v>
      </c>
      <c r="E7846" s="4" t="s">
        <v>1998</v>
      </c>
    </row>
    <row r="7847" spans="1:5" x14ac:dyDescent="0.2">
      <c r="A7847">
        <v>7786</v>
      </c>
      <c r="B7847" s="1832">
        <f>'PCTC-OEPP 27-28'!F112</f>
        <v>141962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58276</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132617</v>
      </c>
      <c r="D7858" s="2" t="str">
        <f t="shared" si="129"/>
        <v>Error?</v>
      </c>
      <c r="E7858" s="4" t="s">
        <v>1998</v>
      </c>
    </row>
    <row r="7859" spans="1:5" x14ac:dyDescent="0.2">
      <c r="A7859">
        <v>7798</v>
      </c>
      <c r="B7859" s="1832">
        <f>'PCTC-OEPP 27-28'!F127</f>
        <v>175196</v>
      </c>
      <c r="D7859" s="2" t="str">
        <f t="shared" si="129"/>
        <v>Error?</v>
      </c>
      <c r="E7859" s="4" t="s">
        <v>1998</v>
      </c>
    </row>
    <row r="7860" spans="1:5" x14ac:dyDescent="0.2">
      <c r="A7860">
        <v>7799</v>
      </c>
      <c r="B7860" s="1832">
        <f>'PCTC-OEPP 27-28'!F128</f>
        <v>22186</v>
      </c>
      <c r="D7860" s="2" t="str">
        <f t="shared" si="129"/>
        <v>Error?</v>
      </c>
      <c r="E7860" s="4" t="s">
        <v>1998</v>
      </c>
    </row>
    <row r="7861" spans="1:5" x14ac:dyDescent="0.2">
      <c r="A7861">
        <v>7800</v>
      </c>
      <c r="B7861" s="1832">
        <f>'PCTC-OEPP 27-28'!F129</f>
        <v>210140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18483</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44270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12892</v>
      </c>
      <c r="D7874" s="2" t="str">
        <f t="shared" si="129"/>
        <v>Error?</v>
      </c>
      <c r="E7874" s="4" t="s">
        <v>1998</v>
      </c>
    </row>
    <row r="7875" spans="1:5" x14ac:dyDescent="0.2">
      <c r="A7875">
        <v>7814</v>
      </c>
      <c r="B7875" s="1832">
        <f>'PCTC-OEPP 27-28'!F170</f>
        <v>394</v>
      </c>
      <c r="D7875" s="2" t="str">
        <f t="shared" si="129"/>
        <v>Error?</v>
      </c>
      <c r="E7875" s="4" t="s">
        <v>1998</v>
      </c>
    </row>
    <row r="7876" spans="1:5" x14ac:dyDescent="0.2">
      <c r="A7876">
        <v>7815</v>
      </c>
      <c r="B7876" s="1832">
        <f>'PCTC-OEPP 27-28'!F171</f>
        <v>6906</v>
      </c>
      <c r="D7876" s="2" t="str">
        <f t="shared" si="129"/>
        <v>Error?</v>
      </c>
      <c r="E7876" s="4" t="s">
        <v>1998</v>
      </c>
    </row>
    <row r="7877" spans="1:5" x14ac:dyDescent="0.2">
      <c r="A7877">
        <v>7816</v>
      </c>
      <c r="B7877" s="1832">
        <f>'PCTC-OEPP 27-28'!F175</f>
        <v>1112063</v>
      </c>
      <c r="D7877" s="2" t="str">
        <f t="shared" si="129"/>
        <v>Error?</v>
      </c>
      <c r="E7877" s="4" t="s">
        <v>1998</v>
      </c>
    </row>
    <row r="7878" spans="1:5" x14ac:dyDescent="0.2">
      <c r="A7878">
        <v>7817</v>
      </c>
      <c r="B7878" s="1832">
        <f>'PCTC-OEPP 27-28'!F176</f>
        <v>4258853</v>
      </c>
      <c r="D7878" s="2" t="str">
        <f t="shared" si="129"/>
        <v>Error?</v>
      </c>
      <c r="E7878" s="4" t="s">
        <v>1998</v>
      </c>
    </row>
    <row r="7879" spans="1:5" x14ac:dyDescent="0.2">
      <c r="A7879">
        <v>7818</v>
      </c>
      <c r="B7879" s="1832">
        <f>'PCTC-OEPP 27-28'!F178</f>
        <v>4457533</v>
      </c>
      <c r="D7879" s="2" t="str">
        <f t="shared" si="129"/>
        <v>Error?</v>
      </c>
      <c r="E7879" s="4" t="s">
        <v>1998</v>
      </c>
    </row>
    <row r="7880" spans="1:5" x14ac:dyDescent="0.2">
      <c r="A7880">
        <v>7819</v>
      </c>
      <c r="B7880" s="1832">
        <f>'PCTC-OEPP 27-28'!F180</f>
        <v>8297.7159344750544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Bunker Hill CUSD8</v>
      </c>
      <c r="B7" s="2516"/>
      <c r="C7" s="2516"/>
      <c r="D7" s="2554"/>
      <c r="E7" s="2555">
        <f>COVER!A13</f>
        <v>40056008026</v>
      </c>
      <c r="F7" s="2556"/>
      <c r="G7" s="2522" t="str">
        <f>COVER!T23</f>
        <v>066-004886</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LOY MILLER TALLEY, PC</v>
      </c>
      <c r="H9" s="2529"/>
      <c r="I9" s="2529"/>
      <c r="J9" s="2529"/>
      <c r="K9" s="2529"/>
      <c r="L9" s="2530"/>
    </row>
    <row r="10" spans="1:29" ht="13.5" customHeight="1" x14ac:dyDescent="0.2">
      <c r="A10" s="2512" t="str">
        <f>COVER!A38</f>
        <v xml:space="preserve">TODD DUGAN </v>
      </c>
      <c r="B10" s="2513"/>
      <c r="C10" s="2513"/>
      <c r="D10" s="2513"/>
      <c r="E10" s="2513"/>
      <c r="F10" s="2514"/>
      <c r="G10" s="2528" t="str">
        <f>COVER!T17</f>
        <v>#2 CROSSROADS CT</v>
      </c>
      <c r="H10" s="2541"/>
      <c r="I10" s="2541"/>
      <c r="J10" s="2541"/>
      <c r="K10" s="2541"/>
      <c r="L10" s="2542"/>
    </row>
    <row r="11" spans="1:29" ht="13.5" customHeight="1" x14ac:dyDescent="0.2">
      <c r="A11" s="963" t="s">
        <v>1502</v>
      </c>
      <c r="B11" s="964"/>
      <c r="C11" s="965"/>
      <c r="D11" s="970"/>
      <c r="E11" s="965"/>
      <c r="F11" s="969"/>
      <c r="G11" s="2528" t="str">
        <f>COVER!T19</f>
        <v>ALTON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KEN@LMTCPAS.COM</v>
      </c>
      <c r="J13" s="2550"/>
      <c r="K13" s="2550"/>
      <c r="L13" s="2551"/>
    </row>
    <row r="14" spans="1:29" ht="13.5" customHeight="1" x14ac:dyDescent="0.2">
      <c r="A14" s="2528" t="str">
        <f>COVER!A19</f>
        <v>504 E WARREN</v>
      </c>
      <c r="B14" s="2541"/>
      <c r="C14" s="2541"/>
      <c r="D14" s="2541"/>
      <c r="E14" s="2541"/>
      <c r="F14" s="2542"/>
      <c r="G14" s="974" t="s">
        <v>1175</v>
      </c>
      <c r="H14" s="972"/>
      <c r="I14" s="972"/>
      <c r="J14" s="972"/>
      <c r="K14" s="972"/>
      <c r="L14" s="973"/>
    </row>
    <row r="15" spans="1:29" ht="13.5" customHeight="1" x14ac:dyDescent="0.2">
      <c r="A15" s="2528" t="str">
        <f>COVER!A21</f>
        <v xml:space="preserve">BUNKER HILL  </v>
      </c>
      <c r="B15" s="2541"/>
      <c r="C15" s="2541"/>
      <c r="D15" s="2541"/>
      <c r="E15" s="2541"/>
      <c r="F15" s="2542"/>
      <c r="G15" s="2538" t="str">
        <f>COVER!T15</f>
        <v>KENNETH E. LOY, C.P.A.</v>
      </c>
      <c r="H15" s="2539"/>
      <c r="I15" s="2539"/>
      <c r="J15" s="2539"/>
      <c r="K15" s="2539"/>
      <c r="L15" s="2540"/>
    </row>
    <row r="16" spans="1:29" ht="12.2" customHeight="1" x14ac:dyDescent="0.2">
      <c r="A16" s="2518">
        <f>COVER!A25</f>
        <v>62014</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(618)465-1196</v>
      </c>
      <c r="H18" s="2516"/>
      <c r="I18" s="2516"/>
      <c r="J18" s="2516"/>
      <c r="K18" s="2515" t="str">
        <f>COVER!X21</f>
        <v>(618)465-2900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Bunker Hill CUSD8</v>
      </c>
      <c r="B1" s="2558"/>
      <c r="C1" s="2558"/>
      <c r="D1" s="2558"/>
    </row>
    <row r="2" spans="1:11" s="991" customFormat="1" ht="12.75" x14ac:dyDescent="0.2">
      <c r="A2" s="2559">
        <f>'Single Audit Cover'!E7</f>
        <v>40056008026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Bunker Hill CUSD8</v>
      </c>
      <c r="B1" s="2562"/>
      <c r="C1" s="2562"/>
      <c r="D1" s="2562"/>
      <c r="E1" s="2562"/>
    </row>
    <row r="2" spans="1:5" x14ac:dyDescent="0.2">
      <c r="A2" s="2563">
        <f>'Single Audit Cover'!E7</f>
        <v>40056008026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623084</v>
      </c>
    </row>
    <row r="11" spans="1:5" ht="18" customHeight="1" x14ac:dyDescent="0.2">
      <c r="A11" s="1037" t="s">
        <v>1229</v>
      </c>
      <c r="B11" s="1038"/>
      <c r="C11" s="1038"/>
    </row>
    <row r="12" spans="1:5" x14ac:dyDescent="0.2">
      <c r="A12" s="1037" t="s">
        <v>1228</v>
      </c>
      <c r="B12" s="1038" t="s">
        <v>1227</v>
      </c>
      <c r="C12" s="1038"/>
      <c r="D12" s="1040">
        <f>SUM('Revenues 9-14'!C112:D112,'Revenues 9-14'!F112:G112)</f>
        <v>23797</v>
      </c>
    </row>
    <row r="13" spans="1:5" x14ac:dyDescent="0.2">
      <c r="A13" s="1037" t="s">
        <v>1226</v>
      </c>
      <c r="B13" s="1038"/>
      <c r="C13" s="1038"/>
    </row>
    <row r="14" spans="1:5" x14ac:dyDescent="0.2">
      <c r="A14" s="1037" t="s">
        <v>2004</v>
      </c>
      <c r="B14" s="1038"/>
      <c r="C14" s="1038"/>
      <c r="D14" s="1040">
        <f>'ICR Computation 30'!E11</f>
        <v>11520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-394</v>
      </c>
    </row>
    <row r="19" spans="1:4" ht="13.5" thickBot="1" x14ac:dyDescent="0.25">
      <c r="A19" s="1041" t="s">
        <v>1224</v>
      </c>
      <c r="D19" s="1042">
        <f>SUM(D10:D17)</f>
        <v>658007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658007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658007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Bunker Hill CUSD8</v>
      </c>
      <c r="C1" s="2566"/>
      <c r="D1" s="2566"/>
      <c r="E1" s="2566"/>
      <c r="F1" s="2566"/>
      <c r="G1" s="2566"/>
      <c r="H1" s="2566"/>
      <c r="I1" s="2566"/>
      <c r="J1" s="2566"/>
      <c r="K1" s="2566"/>
      <c r="L1" s="2566"/>
      <c r="M1" s="2566"/>
    </row>
    <row r="2" spans="2:14" ht="15" x14ac:dyDescent="0.2">
      <c r="B2" s="2567">
        <f>'Single Audit Cover'!E7</f>
        <v>40056008026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Bunker Hill CUSD8</v>
      </c>
      <c r="B1" s="2571"/>
      <c r="C1" s="2571"/>
      <c r="D1" s="2571"/>
      <c r="E1" s="2571"/>
      <c r="F1" s="2571"/>
    </row>
    <row r="2" spans="1:7" ht="13.5" customHeight="1" x14ac:dyDescent="0.2">
      <c r="A2" s="2567">
        <f>'Single Audit Cover'!E7</f>
        <v>40056008026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35065</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2056</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Bunker Hill CUSD8</v>
      </c>
      <c r="C1" s="2587"/>
      <c r="D1" s="2587"/>
      <c r="E1" s="2587"/>
      <c r="F1" s="2587"/>
      <c r="G1" s="2587"/>
      <c r="H1" s="2587"/>
      <c r="I1" s="2587"/>
      <c r="J1" s="1178"/>
    </row>
    <row r="2" spans="2:10" s="295" customFormat="1" ht="12.75" customHeight="1" x14ac:dyDescent="0.2">
      <c r="B2" s="2588">
        <f>'Single Audit Cover'!E7</f>
        <v>40056008026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Bunker Hill CUSD8</v>
      </c>
      <c r="C1" s="2586"/>
      <c r="D1" s="2586"/>
      <c r="E1" s="2586"/>
      <c r="F1" s="2586"/>
      <c r="G1" s="2586"/>
      <c r="H1" s="2586"/>
      <c r="I1" s="2586"/>
      <c r="J1" s="2586"/>
      <c r="K1" s="2586"/>
      <c r="L1" s="1144"/>
      <c r="M1" s="1144"/>
    </row>
    <row r="2" spans="1:13" ht="12" customHeight="1" x14ac:dyDescent="0.2">
      <c r="B2" s="2588">
        <f>'Single Audit Cover'!E7</f>
        <v>40056008026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Bunker Hill CUSD8</v>
      </c>
      <c r="C1" s="2613"/>
      <c r="D1" s="2613"/>
      <c r="E1" s="2613"/>
      <c r="F1" s="2613"/>
      <c r="G1" s="2613"/>
      <c r="H1" s="2613"/>
      <c r="I1" s="2613"/>
      <c r="J1" s="2613"/>
      <c r="K1" s="2613"/>
      <c r="L1" s="1221"/>
    </row>
    <row r="2" spans="1:12" ht="12.75" customHeight="1" x14ac:dyDescent="0.2">
      <c r="B2" s="2614">
        <f>'Single Audit Cover'!E7</f>
        <v>40056008026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Bunker Hill CUSD8</v>
      </c>
      <c r="C1" s="2586"/>
      <c r="D1" s="2586"/>
      <c r="E1" s="1240"/>
    </row>
    <row r="2" spans="2:5" s="1058" customFormat="1" ht="12.75" customHeight="1" x14ac:dyDescent="0.2">
      <c r="B2" s="2588">
        <f>'Single Audit Cover'!E7</f>
        <v>40056008026</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O32" sqref="O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54924522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2.1150499999999999E-2</v>
      </c>
      <c r="E10" s="333" t="s">
        <v>998</v>
      </c>
      <c r="F10" s="332">
        <v>5.1697999999999996E-3</v>
      </c>
      <c r="G10" s="333" t="s">
        <v>998</v>
      </c>
      <c r="H10" s="332">
        <v>2.2204E-3</v>
      </c>
      <c r="I10" s="333" t="s">
        <v>999</v>
      </c>
      <c r="J10" s="1424">
        <f>ROUND(D10+F10+H10,5)</f>
        <v>2.8539999999999999E-2</v>
      </c>
      <c r="K10" s="217"/>
      <c r="L10" s="332">
        <v>4.8779999999999998E-4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6035477</v>
      </c>
      <c r="E16" s="1547"/>
      <c r="F16" s="1546">
        <f>SUM('Acct Summary 7-8'!C17,'Acct Summary 7-8'!D17,'Acct Summary 7-8'!F17)</f>
        <v>5573596</v>
      </c>
      <c r="G16" s="1547"/>
      <c r="H16" s="1546">
        <f>SUM(D16-F16)</f>
        <v>461881</v>
      </c>
      <c r="I16" s="1548"/>
      <c r="J16" s="1546">
        <f>SUM('Acct Summary 7-8'!C81,'Acct Summary 7-8'!D81,'Acct Summary 7-8'!F81,'Acct Summary 7-8'!I81)</f>
        <v>3506996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7579584.0360000003</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2195917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Bunker Hill CUSD8</v>
      </c>
      <c r="E7" s="368"/>
      <c r="G7" s="247"/>
      <c r="H7" s="364"/>
      <c r="I7" s="364"/>
      <c r="J7" s="364"/>
      <c r="K7" s="364"/>
      <c r="L7" s="307"/>
      <c r="M7" s="307"/>
      <c r="N7" s="307"/>
      <c r="O7" s="307"/>
      <c r="P7" s="307"/>
    </row>
    <row r="8" spans="1:18" ht="12.75" x14ac:dyDescent="0.2">
      <c r="A8" s="307"/>
      <c r="B8" s="307"/>
      <c r="C8" s="366" t="s">
        <v>1115</v>
      </c>
      <c r="D8" s="369">
        <f>COVER!A13</f>
        <v>40056008026</v>
      </c>
      <c r="E8" s="370"/>
      <c r="G8" s="307"/>
      <c r="H8" s="307"/>
      <c r="I8" s="307"/>
      <c r="J8" s="307"/>
      <c r="K8" s="307"/>
      <c r="L8" s="307"/>
      <c r="M8" s="307"/>
      <c r="N8" s="307"/>
      <c r="O8" s="307"/>
      <c r="P8" s="307"/>
    </row>
    <row r="9" spans="1:18" ht="12.75" x14ac:dyDescent="0.2">
      <c r="A9" s="307"/>
      <c r="B9" s="307"/>
      <c r="C9" s="366" t="s">
        <v>708</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3506996</v>
      </c>
      <c r="I12" s="380"/>
      <c r="J12" s="380"/>
      <c r="K12" s="1559">
        <f>TRUNC((H12/H13*100000),5)/100000</f>
        <v>0.58106360109999999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6035477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5573596</v>
      </c>
      <c r="I17" s="380"/>
      <c r="J17" s="389"/>
      <c r="K17" s="1559">
        <f>TRUNC((H17/H18*100000),5)/100000</f>
        <v>0.92347232860000006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6035477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3506996</v>
      </c>
      <c r="I24" s="394"/>
      <c r="J24" s="394"/>
      <c r="K24" s="1555">
        <f>TRUNC(((H24/H25*100000)/100000),2)</f>
        <v>226.51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15482.21111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1332413.9791999999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2195917</v>
      </c>
      <c r="I32" s="392"/>
      <c r="J32" s="392"/>
      <c r="K32" s="1555">
        <f>TRUNC(100-((((H32/H33*100))*100)/100),2)</f>
        <v>71.02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7579584.0360000003</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6"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1737421</v>
      </c>
      <c r="D4" s="1573">
        <v>825262</v>
      </c>
      <c r="E4" s="1573">
        <v>114300</v>
      </c>
      <c r="F4" s="1573">
        <v>141342</v>
      </c>
      <c r="G4" s="1573">
        <v>86319</v>
      </c>
      <c r="H4" s="1573">
        <v>211371</v>
      </c>
      <c r="I4" s="1573">
        <v>497215</v>
      </c>
      <c r="J4" s="1574">
        <v>637529</v>
      </c>
      <c r="K4" s="1573">
        <v>86753</v>
      </c>
      <c r="L4" s="1573">
        <v>108658</v>
      </c>
      <c r="M4" s="1575"/>
      <c r="N4" s="1576"/>
    </row>
    <row r="5" spans="1:14" x14ac:dyDescent="0.2">
      <c r="A5" s="427" t="s">
        <v>985</v>
      </c>
      <c r="B5" s="429">
        <v>120</v>
      </c>
      <c r="C5" s="1572"/>
      <c r="D5" s="1573"/>
      <c r="E5" s="1573">
        <v>100000</v>
      </c>
      <c r="F5" s="1573"/>
      <c r="G5" s="1573">
        <v>450000</v>
      </c>
      <c r="H5" s="1573"/>
      <c r="I5" s="1573">
        <v>305756</v>
      </c>
      <c r="J5" s="1574">
        <v>250000</v>
      </c>
      <c r="K5" s="1577"/>
      <c r="L5" s="1578">
        <v>3235</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1737421</v>
      </c>
      <c r="D13" s="1587">
        <f t="shared" ref="D13:L13" si="0">SUM(D4:D12)</f>
        <v>825262</v>
      </c>
      <c r="E13" s="1587">
        <f t="shared" si="0"/>
        <v>214300</v>
      </c>
      <c r="F13" s="1587">
        <f t="shared" si="0"/>
        <v>141342</v>
      </c>
      <c r="G13" s="1587">
        <f t="shared" si="0"/>
        <v>536319</v>
      </c>
      <c r="H13" s="1587">
        <f t="shared" si="0"/>
        <v>211371</v>
      </c>
      <c r="I13" s="1587">
        <f t="shared" si="0"/>
        <v>802971</v>
      </c>
      <c r="J13" s="1587">
        <f t="shared" si="0"/>
        <v>887529</v>
      </c>
      <c r="K13" s="1587">
        <f t="shared" si="0"/>
        <v>86753</v>
      </c>
      <c r="L13" s="1587">
        <f t="shared" si="0"/>
        <v>111893</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63426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8945692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38078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1447226+984943</f>
        <v>2432169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214300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1981617</v>
      </c>
    </row>
    <row r="23" spans="1:14" ht="13.5" customHeight="1" thickBot="1" x14ac:dyDescent="0.25">
      <c r="A23" s="1426" t="s">
        <v>638</v>
      </c>
      <c r="B23" s="1429"/>
      <c r="C23" s="1575"/>
      <c r="D23" s="1575"/>
      <c r="E23" s="1575"/>
      <c r="F23" s="1575"/>
      <c r="G23" s="1575"/>
      <c r="H23" s="1575"/>
      <c r="I23" s="1575"/>
      <c r="J23" s="1575"/>
      <c r="K23" s="1575"/>
      <c r="L23" s="1575"/>
      <c r="M23" s="1594">
        <f>SUM(M15:M22)</f>
        <v>11479365</v>
      </c>
      <c r="N23" s="1594">
        <f>SUM(N21:N22)</f>
        <v>2195917</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111893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111893</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2195917</v>
      </c>
    </row>
    <row r="37" spans="1:14" ht="13.5" thickBot="1" x14ac:dyDescent="0.25">
      <c r="A37" s="1426" t="s">
        <v>648</v>
      </c>
      <c r="B37" s="1429"/>
      <c r="C37" s="1582"/>
      <c r="D37" s="1582"/>
      <c r="E37" s="1582"/>
      <c r="F37" s="1582"/>
      <c r="G37" s="1582"/>
      <c r="H37" s="1582"/>
      <c r="I37" s="1582"/>
      <c r="J37" s="1582"/>
      <c r="K37" s="1582"/>
      <c r="L37" s="1585"/>
      <c r="M37" s="1575"/>
      <c r="N37" s="1594">
        <f>SUM(N36:N36)</f>
        <v>2195917</v>
      </c>
    </row>
    <row r="38" spans="1:14" s="307" customFormat="1" ht="13.5" customHeight="1" thickTop="1" x14ac:dyDescent="0.2">
      <c r="A38" s="438" t="s">
        <v>417</v>
      </c>
      <c r="B38" s="432">
        <v>714</v>
      </c>
      <c r="C38" s="1573"/>
      <c r="D38" s="1573"/>
      <c r="E38" s="1573">
        <v>214300</v>
      </c>
      <c r="F38" s="1573"/>
      <c r="G38" s="1573">
        <v>536319</v>
      </c>
      <c r="H38" s="1573">
        <v>211371</v>
      </c>
      <c r="I38" s="1573"/>
      <c r="J38" s="1574">
        <v>887529</v>
      </c>
      <c r="K38" s="1573">
        <v>86753</v>
      </c>
      <c r="L38" s="1586"/>
      <c r="M38" s="1604"/>
      <c r="N38" s="1604"/>
    </row>
    <row r="39" spans="1:14" s="307" customFormat="1" ht="13.5" customHeight="1" x14ac:dyDescent="0.2">
      <c r="A39" s="438" t="s">
        <v>339</v>
      </c>
      <c r="B39" s="432">
        <v>730</v>
      </c>
      <c r="C39" s="1573">
        <v>1737421</v>
      </c>
      <c r="D39" s="1573">
        <v>825262</v>
      </c>
      <c r="E39" s="1573"/>
      <c r="F39" s="1573">
        <v>141342</v>
      </c>
      <c r="G39" s="1573"/>
      <c r="H39" s="1573"/>
      <c r="I39" s="1573">
        <v>802971</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11479365</v>
      </c>
      <c r="N40" s="1604"/>
    </row>
    <row r="41" spans="1:14" ht="13.5" customHeight="1" thickBot="1" x14ac:dyDescent="0.25">
      <c r="A41" s="1426" t="s">
        <v>650</v>
      </c>
      <c r="B41" s="1405"/>
      <c r="C41" s="1594">
        <f>(SUM(C34,C37,C38,C39))</f>
        <v>1737421</v>
      </c>
      <c r="D41" s="1594">
        <f t="shared" ref="D41:L41" si="2">SUM(D34,D37,D38:D39)</f>
        <v>825262</v>
      </c>
      <c r="E41" s="1594">
        <f t="shared" si="2"/>
        <v>214300</v>
      </c>
      <c r="F41" s="1594">
        <f t="shared" si="2"/>
        <v>141342</v>
      </c>
      <c r="G41" s="1594">
        <f t="shared" si="2"/>
        <v>536319</v>
      </c>
      <c r="H41" s="1594">
        <f t="shared" si="2"/>
        <v>211371</v>
      </c>
      <c r="I41" s="1594">
        <f t="shared" si="2"/>
        <v>802971</v>
      </c>
      <c r="J41" s="1594">
        <f t="shared" si="2"/>
        <v>887529</v>
      </c>
      <c r="K41" s="1594">
        <f t="shared" si="2"/>
        <v>86753</v>
      </c>
      <c r="L41" s="1594">
        <f t="shared" si="2"/>
        <v>111893</v>
      </c>
      <c r="M41" s="1594">
        <f>SUM(M40)</f>
        <v>11479365</v>
      </c>
      <c r="N41" s="1594">
        <f>SUM(N37)</f>
        <v>2195917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E17" sqref="E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1542224</v>
      </c>
      <c r="D4" s="1606">
        <f>'Revenues 9-14'!D109</f>
        <v>282944</v>
      </c>
      <c r="E4" s="1606">
        <f>'Revenues 9-14'!E109</f>
        <v>26746</v>
      </c>
      <c r="F4" s="1606">
        <f>'Revenues 9-14'!F109</f>
        <v>113204</v>
      </c>
      <c r="G4" s="1606">
        <f>'Revenues 9-14'!G109</f>
        <v>126342</v>
      </c>
      <c r="H4" s="1606">
        <f>'Revenues 9-14'!H109</f>
        <v>187153</v>
      </c>
      <c r="I4" s="1606">
        <f>'Revenues 9-14'!I109</f>
        <v>35250</v>
      </c>
      <c r="J4" s="1606">
        <f>'Revenues 9-14'!J109</f>
        <v>329805</v>
      </c>
      <c r="K4" s="1606">
        <f>'Revenues 9-14'!K109</f>
        <v>27523</v>
      </c>
      <c r="L4" s="325"/>
    </row>
    <row r="5" spans="1:13" ht="15.75" customHeight="1" x14ac:dyDescent="0.2">
      <c r="A5" s="1314" t="s">
        <v>1483</v>
      </c>
      <c r="B5" s="1315">
        <v>2000</v>
      </c>
      <c r="C5" s="1607">
        <f>'Revenues 9-14'!C114</f>
        <v>23797</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3243012</v>
      </c>
      <c r="D6" s="1607">
        <f>'Revenues 9-14'!D170</f>
        <v>0</v>
      </c>
      <c r="E6" s="1607">
        <f>'Revenues 9-14'!E170</f>
        <v>0</v>
      </c>
      <c r="F6" s="1607">
        <f>'Revenues 9-14'!F170</f>
        <v>171962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623084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5432117</v>
      </c>
      <c r="D8" s="1594">
        <f t="shared" ref="D8:K8" si="0">SUM(D4:D7)</f>
        <v>282944</v>
      </c>
      <c r="E8" s="1594">
        <f t="shared" si="0"/>
        <v>26746</v>
      </c>
      <c r="F8" s="1594">
        <f t="shared" si="0"/>
        <v>285166</v>
      </c>
      <c r="G8" s="1594">
        <f t="shared" si="0"/>
        <v>126342</v>
      </c>
      <c r="H8" s="1594">
        <f t="shared" si="0"/>
        <v>187153</v>
      </c>
      <c r="I8" s="1594">
        <f t="shared" si="0"/>
        <v>35250</v>
      </c>
      <c r="J8" s="1594">
        <f t="shared" si="0"/>
        <v>329805</v>
      </c>
      <c r="K8" s="1594">
        <f t="shared" si="0"/>
        <v>27523</v>
      </c>
      <c r="L8" s="325"/>
    </row>
    <row r="9" spans="1:13" ht="15.75" thickTop="1" x14ac:dyDescent="0.2">
      <c r="A9" s="449" t="s">
        <v>1634</v>
      </c>
      <c r="B9" s="450">
        <v>3998</v>
      </c>
      <c r="C9" s="1586">
        <v>2265003</v>
      </c>
      <c r="D9" s="1613"/>
      <c r="E9" s="1586"/>
      <c r="F9" s="1586"/>
      <c r="G9" s="1614"/>
      <c r="H9" s="1586"/>
      <c r="I9" s="1609" t="s">
        <v>1159</v>
      </c>
      <c r="J9" s="1583"/>
      <c r="K9" s="1586"/>
      <c r="L9" s="325"/>
    </row>
    <row r="10" spans="1:13" s="452" customFormat="1" ht="13.5" thickBot="1" x14ac:dyDescent="0.25">
      <c r="A10" s="1426" t="s">
        <v>1163</v>
      </c>
      <c r="B10" s="1407"/>
      <c r="C10" s="1594">
        <f>SUM(C8:C9)</f>
        <v>7697120</v>
      </c>
      <c r="D10" s="1594">
        <f t="shared" ref="D10:K10" si="1">SUM(D8:D9)</f>
        <v>282944</v>
      </c>
      <c r="E10" s="1594">
        <f t="shared" si="1"/>
        <v>26746</v>
      </c>
      <c r="F10" s="1594">
        <f t="shared" si="1"/>
        <v>285166</v>
      </c>
      <c r="G10" s="1594">
        <f t="shared" si="1"/>
        <v>126342</v>
      </c>
      <c r="H10" s="1594">
        <f t="shared" si="1"/>
        <v>187153</v>
      </c>
      <c r="I10" s="1594">
        <f t="shared" si="1"/>
        <v>35250</v>
      </c>
      <c r="J10" s="1594">
        <f t="shared" si="1"/>
        <v>329805</v>
      </c>
      <c r="K10" s="1594">
        <f t="shared" si="1"/>
        <v>27523</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3411780</v>
      </c>
      <c r="D12" s="1616" t="s">
        <v>1159</v>
      </c>
      <c r="E12" s="1575" t="s">
        <v>1159</v>
      </c>
      <c r="F12" s="1575" t="s">
        <v>1159</v>
      </c>
      <c r="G12" s="1606">
        <f>'Expenditures 15-22'!K229</f>
        <v>61095</v>
      </c>
      <c r="H12" s="1617"/>
      <c r="I12" s="1575" t="s">
        <v>1159</v>
      </c>
      <c r="J12" s="1575" t="s">
        <v>1159</v>
      </c>
      <c r="K12" s="1617" t="s">
        <v>1159</v>
      </c>
      <c r="L12" s="325"/>
    </row>
    <row r="13" spans="1:13" ht="15.75" customHeight="1" x14ac:dyDescent="0.2">
      <c r="A13" s="1314" t="s">
        <v>454</v>
      </c>
      <c r="B13" s="1316">
        <v>2000</v>
      </c>
      <c r="C13" s="1607">
        <f>'Expenditures 15-22'!K74</f>
        <v>1414904</v>
      </c>
      <c r="D13" s="1607">
        <f>'Expenditures 15-22'!K129</f>
        <v>134560</v>
      </c>
      <c r="E13" s="1576" t="s">
        <v>1159</v>
      </c>
      <c r="F13" s="1607">
        <f>'Expenditures 15-22'!K184</f>
        <v>144640</v>
      </c>
      <c r="G13" s="1607">
        <f>'Expenditures 15-22'!K279</f>
        <v>136394</v>
      </c>
      <c r="H13" s="1607">
        <f>'Expenditures 15-22'!K303</f>
        <v>0</v>
      </c>
      <c r="I13" s="1575" t="s">
        <v>1159</v>
      </c>
      <c r="J13" s="1607">
        <f>'Expenditures 15-22'!K330</f>
        <v>201503</v>
      </c>
      <c r="K13" s="1618">
        <f>'Expenditures 15-22'!K352</f>
        <v>1713</v>
      </c>
      <c r="L13" s="325"/>
    </row>
    <row r="14" spans="1:13" ht="15.75" customHeight="1" x14ac:dyDescent="0.2">
      <c r="A14" s="1314" t="s">
        <v>446</v>
      </c>
      <c r="B14" s="1316">
        <v>3000</v>
      </c>
      <c r="C14" s="1607">
        <f>'Expenditures 15-22'!K75</f>
        <v>72435</v>
      </c>
      <c r="D14" s="1607">
        <f>'Expenditures 15-22'!K130</f>
        <v>0</v>
      </c>
      <c r="E14" s="1616" t="s">
        <v>1159</v>
      </c>
      <c r="F14" s="1607">
        <f>'Expenditures 15-22'!K185</f>
        <v>1304</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345370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177755</v>
      </c>
      <c r="F16" s="1607">
        <f>'Expenditures 15-22'!K208</f>
        <v>48603</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5244489</v>
      </c>
      <c r="D17" s="1594">
        <f t="shared" si="2"/>
        <v>134560</v>
      </c>
      <c r="E17" s="1594">
        <f t="shared" si="2"/>
        <v>177755</v>
      </c>
      <c r="F17" s="1594">
        <f t="shared" si="2"/>
        <v>194547</v>
      </c>
      <c r="G17" s="1594">
        <f t="shared" si="2"/>
        <v>197489</v>
      </c>
      <c r="H17" s="1594">
        <f t="shared" si="2"/>
        <v>0</v>
      </c>
      <c r="I17" s="1575"/>
      <c r="J17" s="1594">
        <f>SUM(J12:J16)</f>
        <v>201503</v>
      </c>
      <c r="K17" s="1594">
        <f>SUM(K12:K16)</f>
        <v>1713</v>
      </c>
      <c r="L17" s="325"/>
    </row>
    <row r="18" spans="1:12" ht="15" customHeight="1" thickTop="1" x14ac:dyDescent="0.2">
      <c r="A18" s="1430" t="s">
        <v>1635</v>
      </c>
      <c r="B18" s="1431">
        <v>4180</v>
      </c>
      <c r="C18" s="1606">
        <f t="shared" ref="C18:H18" si="3">C9</f>
        <v>2265003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7509492</v>
      </c>
      <c r="D19" s="1594">
        <f t="shared" si="4"/>
        <v>134560</v>
      </c>
      <c r="E19" s="1594">
        <f t="shared" si="4"/>
        <v>177755</v>
      </c>
      <c r="F19" s="1594">
        <f t="shared" si="4"/>
        <v>194547</v>
      </c>
      <c r="G19" s="1594">
        <f t="shared" si="4"/>
        <v>197489</v>
      </c>
      <c r="H19" s="1594">
        <f t="shared" si="4"/>
        <v>0</v>
      </c>
      <c r="I19" s="1575"/>
      <c r="J19" s="1594">
        <f>SUM(J17:J18)</f>
        <v>201503</v>
      </c>
      <c r="K19" s="1594">
        <f>SUM(K17:K18)</f>
        <v>1713</v>
      </c>
      <c r="L19" s="325"/>
    </row>
    <row r="20" spans="1:12" ht="16.5" thickTop="1" thickBot="1" x14ac:dyDescent="0.25">
      <c r="A20" s="2231" t="s">
        <v>1636</v>
      </c>
      <c r="B20" s="2232"/>
      <c r="C20" s="1622">
        <f>C8-C17</f>
        <v>187628</v>
      </c>
      <c r="D20" s="1622">
        <f t="shared" ref="D20:K20" si="5">D8-D17</f>
        <v>148384</v>
      </c>
      <c r="E20" s="1622">
        <f t="shared" si="5"/>
        <v>-151009</v>
      </c>
      <c r="F20" s="1622">
        <f t="shared" si="5"/>
        <v>90619</v>
      </c>
      <c r="G20" s="1622">
        <f t="shared" si="5"/>
        <v>-71147</v>
      </c>
      <c r="H20" s="1622">
        <f t="shared" si="5"/>
        <v>187153</v>
      </c>
      <c r="I20" s="1622">
        <f t="shared" si="5"/>
        <v>35250</v>
      </c>
      <c r="J20" s="1622">
        <f t="shared" si="5"/>
        <v>128302</v>
      </c>
      <c r="K20" s="1622">
        <f t="shared" si="5"/>
        <v>25810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160000</v>
      </c>
      <c r="F43" s="1574"/>
      <c r="G43" s="1574"/>
      <c r="H43" s="1574">
        <v>-160000</v>
      </c>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160000</v>
      </c>
      <c r="F44" s="1624">
        <f t="shared" si="6"/>
        <v>0</v>
      </c>
      <c r="G44" s="1624">
        <f t="shared" si="6"/>
        <v>0</v>
      </c>
      <c r="H44" s="1624">
        <f t="shared" si="6"/>
        <v>-160000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160000</v>
      </c>
      <c r="F77" s="1624">
        <f t="shared" si="8"/>
        <v>0</v>
      </c>
      <c r="G77" s="1624">
        <f t="shared" si="8"/>
        <v>0</v>
      </c>
      <c r="H77" s="1624">
        <f t="shared" si="8"/>
        <v>-160000</v>
      </c>
      <c r="I77" s="1624">
        <f t="shared" si="8"/>
        <v>0</v>
      </c>
      <c r="J77" s="1624">
        <f t="shared" si="8"/>
        <v>0</v>
      </c>
      <c r="K77" s="1624">
        <f t="shared" si="8"/>
        <v>0</v>
      </c>
      <c r="L77" s="325"/>
    </row>
    <row r="78" spans="1:12" ht="21.75" customHeight="1" thickTop="1" thickBot="1" x14ac:dyDescent="0.25">
      <c r="A78" s="2227" t="s">
        <v>593</v>
      </c>
      <c r="B78" s="2228"/>
      <c r="C78" s="1629">
        <f t="shared" ref="C78:K78" si="9">C20+C77</f>
        <v>187628</v>
      </c>
      <c r="D78" s="1629">
        <f t="shared" si="9"/>
        <v>148384</v>
      </c>
      <c r="E78" s="1629">
        <f t="shared" si="9"/>
        <v>8991</v>
      </c>
      <c r="F78" s="1629">
        <f t="shared" si="9"/>
        <v>90619</v>
      </c>
      <c r="G78" s="1629">
        <f t="shared" si="9"/>
        <v>-71147</v>
      </c>
      <c r="H78" s="1629">
        <f t="shared" si="9"/>
        <v>27153</v>
      </c>
      <c r="I78" s="1629">
        <f t="shared" si="9"/>
        <v>35250</v>
      </c>
      <c r="J78" s="1629">
        <f t="shared" si="9"/>
        <v>128302</v>
      </c>
      <c r="K78" s="1629">
        <f t="shared" si="9"/>
        <v>25810</v>
      </c>
      <c r="L78" s="457"/>
    </row>
    <row r="79" spans="1:12" ht="13.5" thickTop="1" x14ac:dyDescent="0.2">
      <c r="A79" s="1844" t="str">
        <f>"Fund Balances - July 1, "&amp;'AFR20'!E2-1</f>
        <v>Fund Balances - July 1, 2019</v>
      </c>
      <c r="B79" s="458"/>
      <c r="C79" s="1583">
        <v>1549793</v>
      </c>
      <c r="D79" s="1630">
        <v>676878</v>
      </c>
      <c r="E79" s="1630">
        <v>205309</v>
      </c>
      <c r="F79" s="1630">
        <v>50723</v>
      </c>
      <c r="G79" s="1630">
        <v>607466</v>
      </c>
      <c r="H79" s="1630">
        <v>184218</v>
      </c>
      <c r="I79" s="1630">
        <v>767721</v>
      </c>
      <c r="J79" s="1630">
        <v>759227</v>
      </c>
      <c r="K79" s="1630">
        <v>60943</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1737421</v>
      </c>
      <c r="D81" s="1594">
        <f>SUM(D78:D80)</f>
        <v>825262</v>
      </c>
      <c r="E81" s="1594">
        <f t="shared" ref="E81:K81" si="10">SUM(E78:E80)</f>
        <v>214300</v>
      </c>
      <c r="F81" s="1594">
        <f t="shared" si="10"/>
        <v>141342</v>
      </c>
      <c r="G81" s="1594">
        <f t="shared" si="10"/>
        <v>536319</v>
      </c>
      <c r="H81" s="1594">
        <f t="shared" si="10"/>
        <v>211371</v>
      </c>
      <c r="I81" s="1594">
        <f t="shared" si="10"/>
        <v>802971</v>
      </c>
      <c r="J81" s="1594">
        <f t="shared" si="10"/>
        <v>887529</v>
      </c>
      <c r="K81" s="1594">
        <f t="shared" si="10"/>
        <v>86753</v>
      </c>
      <c r="L81" s="325"/>
    </row>
    <row r="82" spans="1:12" ht="0.75" customHeight="1" thickTop="1" thickBot="1" x14ac:dyDescent="0.25">
      <c r="A82" s="459" t="s">
        <v>340</v>
      </c>
      <c r="B82" s="460"/>
      <c r="C82" s="461">
        <f>(C81-C79)</f>
        <v>187628</v>
      </c>
      <c r="D82" s="461">
        <f t="shared" ref="D82:K82" si="11">(D81-D79)</f>
        <v>148384</v>
      </c>
      <c r="E82" s="461">
        <f t="shared" si="11"/>
        <v>8991</v>
      </c>
      <c r="F82" s="461">
        <f t="shared" si="11"/>
        <v>90619</v>
      </c>
      <c r="G82" s="461">
        <f t="shared" si="11"/>
        <v>-71147</v>
      </c>
      <c r="H82" s="461">
        <f t="shared" si="11"/>
        <v>27153</v>
      </c>
      <c r="I82" s="461">
        <f t="shared" si="11"/>
        <v>35250</v>
      </c>
      <c r="J82" s="461">
        <f t="shared" si="11"/>
        <v>128302</v>
      </c>
      <c r="K82" s="461">
        <f t="shared" si="11"/>
        <v>25810</v>
      </c>
    </row>
    <row r="83" spans="1:12" ht="14.25" hidden="1" thickTop="1" thickBot="1" x14ac:dyDescent="0.25">
      <c r="A83" s="462" t="s">
        <v>341</v>
      </c>
      <c r="B83" s="428"/>
      <c r="C83" s="463">
        <f>C82/C81</f>
        <v>0.10799224828064125</v>
      </c>
      <c r="D83" s="463">
        <f t="shared" ref="D83:K83" si="12">D82/D81</f>
        <v>0.17980229308995205</v>
      </c>
      <c r="E83" s="463">
        <f t="shared" si="12"/>
        <v>4.1955202986467571E-2</v>
      </c>
      <c r="F83" s="463">
        <f t="shared" si="12"/>
        <v>0.64113285506077455</v>
      </c>
      <c r="G83" s="463">
        <f t="shared" si="12"/>
        <v>-0.13265798899535539</v>
      </c>
      <c r="H83" s="463">
        <f t="shared" si="12"/>
        <v>0.12846133102459656</v>
      </c>
      <c r="I83" s="463">
        <f t="shared" si="12"/>
        <v>4.3899468349417353E-2</v>
      </c>
      <c r="J83" s="463">
        <f t="shared" si="12"/>
        <v>0.14456091012237346</v>
      </c>
      <c r="K83" s="463">
        <f t="shared" si="12"/>
        <v>0.29751132525676344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2" activePane="bottomLeft" state="frozen"/>
      <selection pane="bottomLeft" activeCell="E107" sqref="E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f>1113672-1</f>
        <v>1113671</v>
      </c>
      <c r="D5" s="1586">
        <f>274965-1</f>
        <v>274964</v>
      </c>
      <c r="E5" s="1573">
        <f>20335</f>
        <v>20335</v>
      </c>
      <c r="F5" s="1631">
        <f>112123</f>
        <v>112123</v>
      </c>
      <c r="G5" s="1573">
        <f>45464-1</f>
        <v>45463</v>
      </c>
      <c r="H5" s="1573"/>
      <c r="I5" s="1573">
        <f>26392</f>
        <v>26392</v>
      </c>
      <c r="J5" s="1574">
        <f>323177-1</f>
        <v>323176</v>
      </c>
      <c r="K5" s="1573">
        <v>27494</v>
      </c>
    </row>
    <row r="6" spans="1:12" ht="15" x14ac:dyDescent="0.2">
      <c r="A6" s="427" t="s">
        <v>1643</v>
      </c>
      <c r="B6" s="429">
        <v>1130</v>
      </c>
      <c r="C6" s="1573">
        <v>27632</v>
      </c>
      <c r="D6" s="1573"/>
      <c r="E6" s="1580"/>
      <c r="F6" s="1580"/>
      <c r="G6" s="1575"/>
      <c r="H6" s="1575"/>
      <c r="I6" s="1575"/>
      <c r="J6" s="1575"/>
      <c r="K6" s="1575"/>
    </row>
    <row r="7" spans="1:12" x14ac:dyDescent="0.2">
      <c r="A7" s="427" t="s">
        <v>110</v>
      </c>
      <c r="B7" s="471">
        <v>1140</v>
      </c>
      <c r="C7" s="1573">
        <v>22105</v>
      </c>
      <c r="D7" s="1573"/>
      <c r="E7" s="1575"/>
      <c r="F7" s="1574"/>
      <c r="G7" s="1574"/>
      <c r="H7" s="1574"/>
      <c r="I7" s="1575"/>
      <c r="J7" s="1575"/>
      <c r="K7" s="1575"/>
    </row>
    <row r="8" spans="1:12" x14ac:dyDescent="0.2">
      <c r="A8" s="427" t="s">
        <v>410</v>
      </c>
      <c r="B8" s="429">
        <v>1150</v>
      </c>
      <c r="C8" s="1580"/>
      <c r="D8" s="1580"/>
      <c r="E8" s="1582"/>
      <c r="F8" s="1582"/>
      <c r="G8" s="1586">
        <f>62589+1062</f>
        <v>63651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1163408</v>
      </c>
      <c r="D12" s="1633">
        <f t="shared" si="0"/>
        <v>274964</v>
      </c>
      <c r="E12" s="1633">
        <f t="shared" si="0"/>
        <v>20335</v>
      </c>
      <c r="F12" s="1633">
        <f t="shared" si="0"/>
        <v>112123</v>
      </c>
      <c r="G12" s="1633">
        <f t="shared" si="0"/>
        <v>109114</v>
      </c>
      <c r="H12" s="1633">
        <f t="shared" si="0"/>
        <v>0</v>
      </c>
      <c r="I12" s="1633">
        <f t="shared" si="0"/>
        <v>26392</v>
      </c>
      <c r="J12" s="1633">
        <f t="shared" si="0"/>
        <v>323176</v>
      </c>
      <c r="K12" s="1594">
        <f t="shared" si="0"/>
        <v>27494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64944</v>
      </c>
      <c r="D16" s="1573"/>
      <c r="E16" s="1573"/>
      <c r="F16" s="1573"/>
      <c r="G16" s="1573">
        <v>9482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64944</v>
      </c>
      <c r="D18" s="1635">
        <f t="shared" ref="D18:K18" si="1">SUM(D14:D17)</f>
        <v>0</v>
      </c>
      <c r="E18" s="1635">
        <f t="shared" si="1"/>
        <v>0</v>
      </c>
      <c r="F18" s="1635">
        <f t="shared" si="1"/>
        <v>0</v>
      </c>
      <c r="G18" s="1635">
        <f t="shared" si="1"/>
        <v>9482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15910+148+1160</f>
        <v>17218</v>
      </c>
      <c r="D65" s="1573">
        <f>6910+290</f>
        <v>7200</v>
      </c>
      <c r="E65" s="1573">
        <f>6391+20</f>
        <v>6411</v>
      </c>
      <c r="F65" s="1574">
        <f>865+116</f>
        <v>981</v>
      </c>
      <c r="G65" s="1573">
        <f>7678+68</f>
        <v>7746</v>
      </c>
      <c r="H65" s="1573">
        <f>1634-1</f>
        <v>1633</v>
      </c>
      <c r="I65" s="1573">
        <f>8829+29</f>
        <v>8858</v>
      </c>
      <c r="J65" s="1574">
        <f>6285+344</f>
        <v>6629</v>
      </c>
      <c r="K65" s="1573">
        <v>29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17218</v>
      </c>
      <c r="D67" s="1594">
        <f t="shared" ref="D67:K67" si="2">SUM(D65:D66)</f>
        <v>7200</v>
      </c>
      <c r="E67" s="1594">
        <f t="shared" si="2"/>
        <v>6411</v>
      </c>
      <c r="F67" s="1594">
        <f t="shared" si="2"/>
        <v>981</v>
      </c>
      <c r="G67" s="1594">
        <f t="shared" si="2"/>
        <v>7746</v>
      </c>
      <c r="H67" s="1594">
        <f t="shared" si="2"/>
        <v>1633</v>
      </c>
      <c r="I67" s="1594">
        <f t="shared" si="2"/>
        <v>8858</v>
      </c>
      <c r="J67" s="1594">
        <f t="shared" si="2"/>
        <v>6629</v>
      </c>
      <c r="K67" s="1594">
        <f t="shared" si="2"/>
        <v>29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36564</v>
      </c>
      <c r="D69" s="1575"/>
      <c r="E69" s="1575"/>
      <c r="F69" s="1575"/>
      <c r="G69" s="1575"/>
      <c r="H69" s="1575"/>
      <c r="I69" s="1575"/>
      <c r="J69" s="1575"/>
      <c r="K69" s="1575"/>
    </row>
    <row r="70" spans="1:11" ht="12.75" customHeight="1" x14ac:dyDescent="0.2">
      <c r="A70" s="427" t="s">
        <v>990</v>
      </c>
      <c r="B70" s="429">
        <v>1612</v>
      </c>
      <c r="C70" s="1632">
        <v>5146</v>
      </c>
      <c r="D70" s="1575"/>
      <c r="E70" s="1575"/>
      <c r="F70" s="1575"/>
      <c r="G70" s="1575"/>
      <c r="H70" s="1575"/>
      <c r="I70" s="1575"/>
      <c r="J70" s="1575"/>
      <c r="K70" s="1575"/>
    </row>
    <row r="71" spans="1:11" ht="12.75" customHeight="1" x14ac:dyDescent="0.2">
      <c r="A71" s="427" t="s">
        <v>271</v>
      </c>
      <c r="B71" s="429">
        <v>1613</v>
      </c>
      <c r="C71" s="1632">
        <v>11620</v>
      </c>
      <c r="D71" s="1575"/>
      <c r="E71" s="1575"/>
      <c r="F71" s="1575"/>
      <c r="G71" s="1575"/>
      <c r="H71" s="1575"/>
      <c r="I71" s="1575"/>
      <c r="J71" s="1575"/>
      <c r="K71" s="1575"/>
    </row>
    <row r="72" spans="1:11" ht="12.75" customHeight="1" x14ac:dyDescent="0.2">
      <c r="A72" s="427" t="s">
        <v>24</v>
      </c>
      <c r="B72" s="429">
        <v>1614</v>
      </c>
      <c r="C72" s="1632">
        <v>1611</v>
      </c>
      <c r="D72" s="1575"/>
      <c r="E72" s="1575"/>
      <c r="F72" s="1575"/>
      <c r="G72" s="1575"/>
      <c r="H72" s="1575"/>
      <c r="I72" s="1575"/>
      <c r="J72" s="1575"/>
      <c r="K72" s="1575"/>
    </row>
    <row r="73" spans="1:11" ht="12.75" customHeight="1" x14ac:dyDescent="0.2">
      <c r="A73" s="427" t="s">
        <v>991</v>
      </c>
      <c r="B73" s="429">
        <v>1620</v>
      </c>
      <c r="C73" s="1632">
        <v>2121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57062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f>7595+12014</f>
        <v>19609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4381+5027</f>
        <v>9408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f>10998</f>
        <v>10998</v>
      </c>
      <c r="D81" s="1573"/>
      <c r="E81" s="1575"/>
      <c r="F81" s="1575"/>
      <c r="G81" s="1575"/>
      <c r="H81" s="1575"/>
      <c r="I81" s="1575"/>
      <c r="J81" s="1575"/>
      <c r="K81" s="1575"/>
    </row>
    <row r="82" spans="1:11" ht="12.75" customHeight="1" thickBot="1" x14ac:dyDescent="0.25">
      <c r="A82" s="1406" t="s">
        <v>239</v>
      </c>
      <c r="B82" s="1407"/>
      <c r="C82" s="1633">
        <f>SUM(C77:C81)</f>
        <v>40015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31032</f>
        <v>31032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31032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f>49997</f>
        <v>49997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86866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185520</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f>6673+2178</f>
        <v>8851</v>
      </c>
      <c r="D106" s="1598"/>
      <c r="E106" s="1574"/>
      <c r="F106" s="1574"/>
      <c r="G106" s="1574"/>
      <c r="H106" s="1574"/>
      <c r="I106" s="1617"/>
      <c r="J106" s="1574"/>
      <c r="K106" s="1574"/>
    </row>
    <row r="107" spans="1:12" ht="12.75" customHeight="1" x14ac:dyDescent="0.2">
      <c r="A107" s="427" t="s">
        <v>78</v>
      </c>
      <c r="B107" s="429">
        <v>1999</v>
      </c>
      <c r="C107" s="1632">
        <f>22831</f>
        <v>22831</v>
      </c>
      <c r="D107" s="1573">
        <v>780</v>
      </c>
      <c r="E107" s="1573"/>
      <c r="F107" s="1573">
        <f>100</f>
        <v>100</v>
      </c>
      <c r="G107" s="1573"/>
      <c r="H107" s="1573"/>
      <c r="I107" s="1573"/>
      <c r="J107" s="1574"/>
      <c r="K107" s="1573"/>
    </row>
    <row r="108" spans="1:12" ht="12.75" customHeight="1" thickBot="1" x14ac:dyDescent="0.25">
      <c r="A108" s="1406" t="s">
        <v>484</v>
      </c>
      <c r="B108" s="1408"/>
      <c r="C108" s="1633">
        <f>SUM(C95:C107)</f>
        <v>168545</v>
      </c>
      <c r="D108" s="1633">
        <f t="shared" ref="D108:K108" si="3">SUM(D95:D107)</f>
        <v>780</v>
      </c>
      <c r="E108" s="1633">
        <f t="shared" si="3"/>
        <v>0</v>
      </c>
      <c r="F108" s="1633">
        <f t="shared" si="3"/>
        <v>100</v>
      </c>
      <c r="G108" s="1633">
        <f t="shared" si="3"/>
        <v>0</v>
      </c>
      <c r="H108" s="1633">
        <f t="shared" si="3"/>
        <v>185520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1542224</v>
      </c>
      <c r="D109" s="1641">
        <f t="shared" si="4"/>
        <v>282944</v>
      </c>
      <c r="E109" s="1641">
        <f t="shared" si="4"/>
        <v>26746</v>
      </c>
      <c r="F109" s="1641">
        <f t="shared" si="4"/>
        <v>113204</v>
      </c>
      <c r="G109" s="1641">
        <f t="shared" si="4"/>
        <v>126342</v>
      </c>
      <c r="H109" s="1641">
        <f t="shared" si="4"/>
        <v>187153</v>
      </c>
      <c r="I109" s="1641">
        <f t="shared" si="4"/>
        <v>35250</v>
      </c>
      <c r="J109" s="1641">
        <f t="shared" si="4"/>
        <v>329805</v>
      </c>
      <c r="K109" s="1629">
        <f t="shared" si="4"/>
        <v>27523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f>23797</f>
        <v>23797</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23797</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3014857</v>
      </c>
      <c r="D117" s="1586"/>
      <c r="E117" s="1573"/>
      <c r="F117" s="1586">
        <v>30000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3014857</v>
      </c>
      <c r="D122" s="1633">
        <f t="shared" si="5"/>
        <v>0</v>
      </c>
      <c r="E122" s="1633">
        <f t="shared" si="5"/>
        <v>0</v>
      </c>
      <c r="F122" s="1633">
        <f t="shared" si="5"/>
        <v>30000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2173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2173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f>392+859</f>
        <v>1251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5333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109157</v>
      </c>
      <c r="G152" s="1574"/>
      <c r="H152" s="1575"/>
      <c r="I152" s="1575"/>
      <c r="J152" s="1575"/>
      <c r="K152" s="1575"/>
    </row>
    <row r="153" spans="1:11" ht="12.75" customHeight="1" x14ac:dyDescent="0.2">
      <c r="A153" s="427" t="s">
        <v>1048</v>
      </c>
      <c r="B153" s="478">
        <v>3510</v>
      </c>
      <c r="C153" s="1632"/>
      <c r="D153" s="1573"/>
      <c r="E153" s="1640"/>
      <c r="F153" s="1573">
        <v>32805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141962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161122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f>750+57526</f>
        <v>58276</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228155</v>
      </c>
      <c r="D169" s="1658">
        <f t="shared" si="6"/>
        <v>0</v>
      </c>
      <c r="E169" s="1658">
        <f t="shared" si="6"/>
        <v>0</v>
      </c>
      <c r="F169" s="1658">
        <f t="shared" si="6"/>
        <v>141962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3243012</v>
      </c>
      <c r="D170" s="1641">
        <f t="shared" si="7"/>
        <v>0</v>
      </c>
      <c r="E170" s="1641">
        <f t="shared" si="7"/>
        <v>0</v>
      </c>
      <c r="F170" s="1641">
        <f t="shared" si="7"/>
        <v>171962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f>62981</f>
        <v>62981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f>17507</f>
        <v>17507</v>
      </c>
      <c r="D193" s="1575"/>
      <c r="E193" s="1640"/>
      <c r="F193" s="1575"/>
      <c r="G193" s="1664"/>
      <c r="H193" s="1575"/>
      <c r="I193" s="1575"/>
      <c r="J193" s="1575"/>
      <c r="K193" s="1575"/>
    </row>
    <row r="194" spans="1:11" ht="12.75" customHeight="1" x14ac:dyDescent="0.2">
      <c r="A194" s="427" t="s">
        <v>1434</v>
      </c>
      <c r="B194" s="429">
        <v>4225</v>
      </c>
      <c r="C194" s="1632">
        <v>52129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132617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f>113402+61794</f>
        <v>175196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175196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f>22186</f>
        <v>22186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22186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f>197200+12940</f>
        <v>210140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210140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f>18483</f>
        <v>18483</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18483</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f>21879+5975+16416</f>
        <v>44270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f>12892</f>
        <v>12892</v>
      </c>
      <c r="D263" s="1651"/>
      <c r="E263" s="1575"/>
      <c r="F263" s="1651"/>
      <c r="G263" s="1651"/>
      <c r="H263" s="1575"/>
      <c r="I263" s="1575"/>
      <c r="J263" s="1575"/>
      <c r="K263" s="1575"/>
    </row>
    <row r="264" spans="1:11" ht="12.75" customHeight="1" thickTop="1" thickBot="1" x14ac:dyDescent="0.25">
      <c r="A264" s="427" t="s">
        <v>374</v>
      </c>
      <c r="B264" s="429">
        <v>4992</v>
      </c>
      <c r="C264" s="1650">
        <v>394</v>
      </c>
      <c r="D264" s="1651"/>
      <c r="E264" s="1575"/>
      <c r="F264" s="1651"/>
      <c r="G264" s="1651"/>
      <c r="H264" s="1575"/>
      <c r="I264" s="1575"/>
      <c r="J264" s="1575"/>
      <c r="K264" s="1575"/>
    </row>
    <row r="265" spans="1:11" s="489" customFormat="1" ht="12.75" customHeight="1" thickTop="1" thickBot="1" x14ac:dyDescent="0.25">
      <c r="A265" s="479" t="s">
        <v>75</v>
      </c>
      <c r="B265" s="475">
        <v>4998</v>
      </c>
      <c r="C265" s="1650">
        <f>6906</f>
        <v>6906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623084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623084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5432117</v>
      </c>
      <c r="D268" s="1641">
        <f t="shared" si="12"/>
        <v>282944</v>
      </c>
      <c r="E268" s="1641">
        <f t="shared" si="12"/>
        <v>26746</v>
      </c>
      <c r="F268" s="1641">
        <f t="shared" si="12"/>
        <v>285166</v>
      </c>
      <c r="G268" s="1641">
        <f t="shared" si="12"/>
        <v>126342</v>
      </c>
      <c r="H268" s="1641">
        <f t="shared" si="12"/>
        <v>187153</v>
      </c>
      <c r="I268" s="1641">
        <f t="shared" si="12"/>
        <v>35250</v>
      </c>
      <c r="J268" s="1641">
        <f t="shared" si="12"/>
        <v>329805</v>
      </c>
      <c r="K268" s="1629">
        <f t="shared" si="12"/>
        <v>27523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2" activePane="bottomLeft" state="frozen"/>
      <selection pane="bottomLeft" activeCell="D320" sqref="D3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14240+1160003+13265+805656+13464-1</f>
        <v>2006627</v>
      </c>
      <c r="D5" s="1573">
        <f>3354+359+875+150+14+136508+27903+55018+9098+842+86518+19547+50954+6579+610+460</f>
        <v>398789</v>
      </c>
      <c r="E5" s="1573">
        <f>400+1433+9827+1300+10183+5852+68</f>
        <v>29063</v>
      </c>
      <c r="F5" s="1573">
        <f>72246+7424+1293+4843+492+146+464+3645+2718+530+147+1091+3550+2884+10735</f>
        <v>112208</v>
      </c>
      <c r="G5" s="1573">
        <f>1738+11033+1874</f>
        <v>14645</v>
      </c>
      <c r="H5" s="1573">
        <f>75+180+1020</f>
        <v>1275</v>
      </c>
      <c r="I5" s="1574"/>
      <c r="J5" s="1574"/>
      <c r="K5" s="1672">
        <f>SUM(C5:J5)</f>
        <v>2562607</v>
      </c>
      <c r="L5" s="1573">
        <v>3263000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f>84686+29811+500+180</f>
        <v>115177</v>
      </c>
      <c r="D7" s="1574">
        <f>20514+1+2197+1+3252+1620+319+506+33+47</f>
        <v>28490</v>
      </c>
      <c r="E7" s="1574"/>
      <c r="F7" s="1574">
        <f>8681</f>
        <v>8681</v>
      </c>
      <c r="G7" s="1574"/>
      <c r="H7" s="1574"/>
      <c r="I7" s="1574"/>
      <c r="J7" s="1574"/>
      <c r="K7" s="1672">
        <f t="shared" ref="K7:K32" si="0">SUM(C7:J7)</f>
        <v>152348</v>
      </c>
      <c r="L7" s="1573">
        <v>109000</v>
      </c>
    </row>
    <row r="8" spans="1:14" x14ac:dyDescent="0.2">
      <c r="A8" s="1274" t="s">
        <v>163</v>
      </c>
      <c r="B8" s="503">
        <v>1200</v>
      </c>
      <c r="C8" s="1573">
        <f>227620+16786+45986+17905</f>
        <v>308297</v>
      </c>
      <c r="D8" s="1573">
        <f>25405+2234+5736+313+16920+1384+2129+1193+199+112+2+3+648+405+38</f>
        <v>56721</v>
      </c>
      <c r="E8" s="1573"/>
      <c r="F8" s="1573">
        <f>362+246</f>
        <v>608</v>
      </c>
      <c r="G8" s="1573"/>
      <c r="H8" s="1573"/>
      <c r="I8" s="1574"/>
      <c r="J8" s="1574"/>
      <c r="K8" s="1672">
        <f t="shared" si="0"/>
        <v>365626</v>
      </c>
      <c r="L8" s="1573">
        <v>227000</v>
      </c>
    </row>
    <row r="9" spans="1:14" x14ac:dyDescent="0.2">
      <c r="A9" s="1274" t="s">
        <v>716</v>
      </c>
      <c r="B9" s="503" t="s">
        <v>962</v>
      </c>
      <c r="C9" s="1574"/>
      <c r="D9" s="1574"/>
      <c r="E9" s="1574"/>
      <c r="F9" s="1574"/>
      <c r="G9" s="1574"/>
      <c r="H9" s="1574"/>
      <c r="I9" s="1574"/>
      <c r="J9" s="1574"/>
      <c r="K9" s="1672">
        <f t="shared" si="0"/>
        <v>0</v>
      </c>
      <c r="L9" s="1573">
        <v>11000</v>
      </c>
    </row>
    <row r="10" spans="1:14" x14ac:dyDescent="0.2">
      <c r="A10" s="1274" t="s">
        <v>717</v>
      </c>
      <c r="B10" s="503">
        <v>1250</v>
      </c>
      <c r="C10" s="1573">
        <f>36994+24803</f>
        <v>61797</v>
      </c>
      <c r="D10" s="1573">
        <f>5123+872+3042+512+48</f>
        <v>9597</v>
      </c>
      <c r="E10" s="1573"/>
      <c r="F10" s="1573">
        <f>32768+8958</f>
        <v>41726</v>
      </c>
      <c r="G10" s="1573"/>
      <c r="H10" s="1573"/>
      <c r="I10" s="1574"/>
      <c r="J10" s="1574"/>
      <c r="K10" s="1672">
        <f t="shared" si="0"/>
        <v>113120</v>
      </c>
      <c r="L10" s="1573">
        <v>38000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f>2174+7037+39409+16673</f>
        <v>65293</v>
      </c>
      <c r="G13" s="1573"/>
      <c r="H13" s="1573"/>
      <c r="I13" s="1574"/>
      <c r="J13" s="1574"/>
      <c r="K13" s="1672">
        <f t="shared" si="0"/>
        <v>65293</v>
      </c>
      <c r="L13" s="1573">
        <v>180000</v>
      </c>
    </row>
    <row r="14" spans="1:14" x14ac:dyDescent="0.2">
      <c r="A14" s="1274" t="s">
        <v>957</v>
      </c>
      <c r="B14" s="503">
        <v>1500</v>
      </c>
      <c r="C14" s="1573">
        <f>34293+58356</f>
        <v>92649</v>
      </c>
      <c r="D14" s="1573">
        <f>3117+701+4363+982</f>
        <v>9163</v>
      </c>
      <c r="E14" s="1573">
        <f>2610+4820+2730+7690+86</f>
        <v>17936</v>
      </c>
      <c r="F14" s="1573">
        <f>69+5411+73+505+1429+904+253+273+1760+4413</f>
        <v>15090</v>
      </c>
      <c r="G14" s="1573"/>
      <c r="H14" s="1573">
        <f>940+23+10+1163+1756+664-52</f>
        <v>4504</v>
      </c>
      <c r="I14" s="1574"/>
      <c r="J14" s="1574"/>
      <c r="K14" s="1672">
        <f t="shared" si="0"/>
        <v>139342</v>
      </c>
      <c r="L14" s="1573">
        <v>137880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f>3343</f>
        <v>3343</v>
      </c>
      <c r="F16" s="1573"/>
      <c r="G16" s="1573"/>
      <c r="H16" s="1573"/>
      <c r="I16" s="1574"/>
      <c r="J16" s="1574"/>
      <c r="K16" s="1672">
        <f t="shared" si="0"/>
        <v>3343</v>
      </c>
      <c r="L16" s="1573">
        <v>11700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f>10101</f>
        <v>10101</v>
      </c>
      <c r="G19" s="1573"/>
      <c r="H19" s="1573"/>
      <c r="I19" s="1574"/>
      <c r="J19" s="1574"/>
      <c r="K19" s="1672">
        <f t="shared" si="0"/>
        <v>10101</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2584547</v>
      </c>
      <c r="D33" s="1674">
        <f t="shared" ref="D33:L33" si="1">SUM(D5:D32)</f>
        <v>502760</v>
      </c>
      <c r="E33" s="1674">
        <f t="shared" si="1"/>
        <v>50342</v>
      </c>
      <c r="F33" s="1674">
        <f t="shared" si="1"/>
        <v>253707</v>
      </c>
      <c r="G33" s="1674">
        <f t="shared" si="1"/>
        <v>14645</v>
      </c>
      <c r="H33" s="1674">
        <f t="shared" si="1"/>
        <v>5779</v>
      </c>
      <c r="I33" s="1674">
        <f t="shared" si="1"/>
        <v>0</v>
      </c>
      <c r="J33" s="1674">
        <f t="shared" si="1"/>
        <v>0</v>
      </c>
      <c r="K33" s="1674">
        <f t="shared" si="1"/>
        <v>3411780</v>
      </c>
      <c r="L33" s="1674">
        <f t="shared" si="1"/>
        <v>3977580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8000</v>
      </c>
    </row>
    <row r="37" spans="1:14" x14ac:dyDescent="0.2">
      <c r="A37" s="1274" t="s">
        <v>1081</v>
      </c>
      <c r="B37" s="503">
        <v>2120</v>
      </c>
      <c r="C37" s="1573"/>
      <c r="D37" s="1573"/>
      <c r="E37" s="1573">
        <v>-65</v>
      </c>
      <c r="F37" s="1573"/>
      <c r="G37" s="1573"/>
      <c r="H37" s="1573"/>
      <c r="I37" s="1574"/>
      <c r="J37" s="1574"/>
      <c r="K37" s="1672">
        <f t="shared" si="2"/>
        <v>-65</v>
      </c>
      <c r="L37" s="1573">
        <v>0</v>
      </c>
    </row>
    <row r="38" spans="1:14" x14ac:dyDescent="0.2">
      <c r="A38" s="1274" t="s">
        <v>196</v>
      </c>
      <c r="B38" s="503">
        <v>2130</v>
      </c>
      <c r="C38" s="1573">
        <f>40689</f>
        <v>40689</v>
      </c>
      <c r="D38" s="1573">
        <f>450+42</f>
        <v>492</v>
      </c>
      <c r="E38" s="1573"/>
      <c r="F38" s="1573">
        <f>1021</f>
        <v>1021</v>
      </c>
      <c r="G38" s="1573"/>
      <c r="H38" s="1573"/>
      <c r="I38" s="1574"/>
      <c r="J38" s="1574"/>
      <c r="K38" s="1672">
        <f t="shared" si="2"/>
        <v>42202</v>
      </c>
      <c r="L38" s="1573">
        <v>42410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f>43499</f>
        <v>43499</v>
      </c>
      <c r="D40" s="1573">
        <f>4590+1036+4320+450+42</f>
        <v>10438</v>
      </c>
      <c r="E40" s="1573"/>
      <c r="F40" s="1573">
        <f>146</f>
        <v>146</v>
      </c>
      <c r="G40" s="1573"/>
      <c r="H40" s="1573"/>
      <c r="I40" s="1574"/>
      <c r="J40" s="1574"/>
      <c r="K40" s="1672">
        <f t="shared" si="2"/>
        <v>54083</v>
      </c>
      <c r="L40" s="1573">
        <v>55400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84188</v>
      </c>
      <c r="D42" s="1674">
        <f t="shared" ref="D42:L42" si="3">SUM(D36:D41)</f>
        <v>10930</v>
      </c>
      <c r="E42" s="1674">
        <f t="shared" si="3"/>
        <v>-65</v>
      </c>
      <c r="F42" s="1674">
        <f t="shared" si="3"/>
        <v>1167</v>
      </c>
      <c r="G42" s="1674">
        <f t="shared" si="3"/>
        <v>0</v>
      </c>
      <c r="H42" s="1674">
        <f t="shared" si="3"/>
        <v>0</v>
      </c>
      <c r="I42" s="1674">
        <f t="shared" si="3"/>
        <v>0</v>
      </c>
      <c r="J42" s="1674">
        <f t="shared" si="3"/>
        <v>0</v>
      </c>
      <c r="K42" s="1674">
        <f t="shared" si="3"/>
        <v>96220</v>
      </c>
      <c r="L42" s="1674">
        <f t="shared" si="3"/>
        <v>105810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f>665</f>
        <v>665</v>
      </c>
      <c r="E44" s="1586">
        <f>23469+9417+39043+1358+729+298+8395</f>
        <v>82709</v>
      </c>
      <c r="F44" s="1586">
        <f>24867+4409+61016</f>
        <v>90292</v>
      </c>
      <c r="G44" s="1586">
        <f>5600+2394</f>
        <v>7994</v>
      </c>
      <c r="H44" s="1586"/>
      <c r="I44" s="1574"/>
      <c r="J44" s="1574"/>
      <c r="K44" s="1678">
        <f>SUM(C44:J44)</f>
        <v>181660</v>
      </c>
      <c r="L44" s="1586">
        <v>101000</v>
      </c>
    </row>
    <row r="45" spans="1:14" x14ac:dyDescent="0.2">
      <c r="A45" s="1274" t="s">
        <v>810</v>
      </c>
      <c r="B45" s="503">
        <v>2220</v>
      </c>
      <c r="C45" s="1573">
        <f>59606</f>
        <v>59606</v>
      </c>
      <c r="D45" s="1573">
        <f>6309+1424+4320+450+42</f>
        <v>12545</v>
      </c>
      <c r="E45" s="1573">
        <f>71</f>
        <v>71</v>
      </c>
      <c r="F45" s="1573">
        <f>303+59+1919+637+1059</f>
        <v>3977</v>
      </c>
      <c r="G45" s="1573">
        <f>9389+1193+2724</f>
        <v>13306</v>
      </c>
      <c r="H45" s="1573">
        <f>4107+4670</f>
        <v>8777</v>
      </c>
      <c r="I45" s="1574"/>
      <c r="J45" s="1574"/>
      <c r="K45" s="1678">
        <f>SUM(C45:J45)</f>
        <v>98282</v>
      </c>
      <c r="L45" s="1573">
        <v>158100</v>
      </c>
    </row>
    <row r="46" spans="1:14" x14ac:dyDescent="0.2">
      <c r="A46" s="1274" t="s">
        <v>811</v>
      </c>
      <c r="B46" s="503">
        <v>2230</v>
      </c>
      <c r="C46" s="1573"/>
      <c r="D46" s="1573"/>
      <c r="E46" s="1573">
        <f>5520</f>
        <v>5520</v>
      </c>
      <c r="F46" s="1573">
        <f>12530</f>
        <v>12530</v>
      </c>
      <c r="G46" s="1573">
        <f>2993</f>
        <v>2993</v>
      </c>
      <c r="H46" s="1573"/>
      <c r="I46" s="1574"/>
      <c r="J46" s="1574"/>
      <c r="K46" s="1678">
        <f>SUM(C46:J46)</f>
        <v>21043</v>
      </c>
      <c r="L46" s="1573">
        <v>11500</v>
      </c>
    </row>
    <row r="47" spans="1:14" ht="12.75" customHeight="1" thickBot="1" x14ac:dyDescent="0.25">
      <c r="A47" s="1380" t="s">
        <v>557</v>
      </c>
      <c r="B47" s="1381" t="s">
        <v>32</v>
      </c>
      <c r="C47" s="1674">
        <f>SUM(C44:C46)</f>
        <v>59606</v>
      </c>
      <c r="D47" s="1674">
        <f t="shared" ref="D47:K47" si="4">SUM(D44:D46)</f>
        <v>13210</v>
      </c>
      <c r="E47" s="1674">
        <f t="shared" si="4"/>
        <v>88300</v>
      </c>
      <c r="F47" s="1674">
        <f t="shared" si="4"/>
        <v>106799</v>
      </c>
      <c r="G47" s="1674">
        <f t="shared" si="4"/>
        <v>24293</v>
      </c>
      <c r="H47" s="1674">
        <f t="shared" si="4"/>
        <v>8777</v>
      </c>
      <c r="I47" s="1674">
        <f t="shared" si="4"/>
        <v>0</v>
      </c>
      <c r="J47" s="1674">
        <f t="shared" si="4"/>
        <v>0</v>
      </c>
      <c r="K47" s="1674">
        <f t="shared" si="4"/>
        <v>300985</v>
      </c>
      <c r="L47" s="1674">
        <f>SUM(L44:L46)</f>
        <v>270600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f>7735+4045+6295+881+11460+1435</f>
        <v>31851</v>
      </c>
      <c r="F49" s="1586"/>
      <c r="G49" s="1586"/>
      <c r="H49" s="1586">
        <f>4472+550</f>
        <v>5022</v>
      </c>
      <c r="I49" s="1574"/>
      <c r="J49" s="1574"/>
      <c r="K49" s="1678">
        <f>SUM(C49:J49)</f>
        <v>36873</v>
      </c>
      <c r="L49" s="1586">
        <v>26800</v>
      </c>
    </row>
    <row r="50" spans="1:14" x14ac:dyDescent="0.2">
      <c r="A50" s="1274" t="s">
        <v>813</v>
      </c>
      <c r="B50" s="503">
        <v>2320</v>
      </c>
      <c r="C50" s="1573">
        <f>91200+34540</f>
        <v>125740</v>
      </c>
      <c r="D50" s="1573">
        <f>9603+2161+7593+773+72</f>
        <v>20202</v>
      </c>
      <c r="E50" s="1573">
        <f>6865+4458+129</f>
        <v>11452</v>
      </c>
      <c r="F50" s="1573">
        <f>1062+30</f>
        <v>1092</v>
      </c>
      <c r="G50" s="1573"/>
      <c r="H50" s="1573">
        <f>2507+837</f>
        <v>3344</v>
      </c>
      <c r="I50" s="1574"/>
      <c r="J50" s="1574"/>
      <c r="K50" s="1678">
        <f>SUM(C50:J50)</f>
        <v>161830</v>
      </c>
      <c r="L50" s="1573">
        <v>146700</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125740</v>
      </c>
      <c r="D53" s="1674">
        <f t="shared" ref="D53:L53" si="5">SUM(D49:D52)</f>
        <v>20202</v>
      </c>
      <c r="E53" s="1674">
        <f t="shared" si="5"/>
        <v>43303</v>
      </c>
      <c r="F53" s="1674">
        <f t="shared" si="5"/>
        <v>1092</v>
      </c>
      <c r="G53" s="1674">
        <f t="shared" si="5"/>
        <v>0</v>
      </c>
      <c r="H53" s="1674">
        <f t="shared" si="5"/>
        <v>8366</v>
      </c>
      <c r="I53" s="1674">
        <f t="shared" si="5"/>
        <v>0</v>
      </c>
      <c r="J53" s="1674">
        <f t="shared" si="5"/>
        <v>0</v>
      </c>
      <c r="K53" s="1674">
        <f t="shared" si="5"/>
        <v>198703</v>
      </c>
      <c r="L53" s="1674">
        <f t="shared" si="5"/>
        <v>173500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76288+67125+33162+37427</f>
        <v>214002</v>
      </c>
      <c r="D55" s="1586">
        <f>8033+7068+1808+1591+3888+8686+855+855+80+80</f>
        <v>32944</v>
      </c>
      <c r="E55" s="1586">
        <f>178+3382</f>
        <v>3560</v>
      </c>
      <c r="F55" s="1586">
        <f>6256+1027+789</f>
        <v>8072</v>
      </c>
      <c r="G55" s="1586"/>
      <c r="H55" s="1586">
        <f>457+31+50</f>
        <v>538</v>
      </c>
      <c r="I55" s="1574"/>
      <c r="J55" s="1574"/>
      <c r="K55" s="1678">
        <f>SUM(C55:J55)</f>
        <v>259116</v>
      </c>
      <c r="L55" s="1586">
        <v>224500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214002</v>
      </c>
      <c r="D57" s="1679">
        <f t="shared" ref="D57:K57" si="6">SUM(D55:D56)</f>
        <v>32944</v>
      </c>
      <c r="E57" s="1679">
        <f t="shared" si="6"/>
        <v>3560</v>
      </c>
      <c r="F57" s="1679">
        <f t="shared" si="6"/>
        <v>8072</v>
      </c>
      <c r="G57" s="1679">
        <f t="shared" si="6"/>
        <v>0</v>
      </c>
      <c r="H57" s="1679">
        <f t="shared" si="6"/>
        <v>538</v>
      </c>
      <c r="I57" s="1679">
        <f t="shared" si="6"/>
        <v>0</v>
      </c>
      <c r="J57" s="1679">
        <f t="shared" si="6"/>
        <v>0</v>
      </c>
      <c r="K57" s="1679">
        <f t="shared" si="6"/>
        <v>259116</v>
      </c>
      <c r="L57" s="1674">
        <f>SUM(L55:L56)</f>
        <v>224500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f>49076</f>
        <v>49076</v>
      </c>
      <c r="D60" s="1573">
        <f>4320+450+42</f>
        <v>4812</v>
      </c>
      <c r="E60" s="1573">
        <f>3085</f>
        <v>3085</v>
      </c>
      <c r="F60" s="1573">
        <f>1660</f>
        <v>1660</v>
      </c>
      <c r="G60" s="1573"/>
      <c r="H60" s="1573"/>
      <c r="I60" s="1574"/>
      <c r="J60" s="1574"/>
      <c r="K60" s="1678">
        <f t="shared" si="7"/>
        <v>58633</v>
      </c>
      <c r="L60" s="1573">
        <v>55950</v>
      </c>
      <c r="M60" s="501"/>
      <c r="N60" s="501"/>
    </row>
    <row r="61" spans="1:14" s="321" customFormat="1" x14ac:dyDescent="0.2">
      <c r="A61" s="1274" t="s">
        <v>195</v>
      </c>
      <c r="B61" s="503">
        <v>2540</v>
      </c>
      <c r="C61" s="1573">
        <f>105856+25099+6594</f>
        <v>137549</v>
      </c>
      <c r="D61" s="1573">
        <f>8640+2447+1126+263+23+93</f>
        <v>12592</v>
      </c>
      <c r="E61" s="1573">
        <f>4395+4413+27232+1931+2341+5218+684</f>
        <v>46214</v>
      </c>
      <c r="F61" s="1573">
        <f>2118+7586+8020+4240+22916+28961+3924</f>
        <v>77765</v>
      </c>
      <c r="G61" s="1573"/>
      <c r="H61" s="1573"/>
      <c r="I61" s="1574"/>
      <c r="J61" s="1574"/>
      <c r="K61" s="1678">
        <f t="shared" si="7"/>
        <v>274120</v>
      </c>
      <c r="L61" s="1573">
        <v>9100</v>
      </c>
      <c r="M61" s="501"/>
      <c r="N61" s="501"/>
    </row>
    <row r="62" spans="1:14" s="321" customFormat="1" x14ac:dyDescent="0.2">
      <c r="A62" s="1274" t="s">
        <v>947</v>
      </c>
      <c r="B62" s="503">
        <v>2550</v>
      </c>
      <c r="C62" s="1573"/>
      <c r="D62" s="1573"/>
      <c r="E62" s="1573">
        <f>960+759</f>
        <v>1719</v>
      </c>
      <c r="F62" s="1573">
        <f>41</f>
        <v>41</v>
      </c>
      <c r="G62" s="1573"/>
      <c r="H62" s="1573"/>
      <c r="I62" s="1574"/>
      <c r="J62" s="1574"/>
      <c r="K62" s="1678">
        <f t="shared" si="7"/>
        <v>1760</v>
      </c>
      <c r="L62" s="1573">
        <v>0</v>
      </c>
      <c r="M62" s="501"/>
      <c r="N62" s="501"/>
    </row>
    <row r="63" spans="1:14" s="501" customFormat="1" x14ac:dyDescent="0.2">
      <c r="A63" s="1274" t="s">
        <v>100</v>
      </c>
      <c r="B63" s="503">
        <v>2560</v>
      </c>
      <c r="C63" s="1573">
        <f>94185+14516+353</f>
        <v>109054</v>
      </c>
      <c r="D63" s="1573">
        <f>8640+1276+121</f>
        <v>10037</v>
      </c>
      <c r="E63" s="1573">
        <f>2560+5211+1615+286</f>
        <v>9672</v>
      </c>
      <c r="F63" s="1573">
        <f>1512+93107+1985</f>
        <v>96604</v>
      </c>
      <c r="G63" s="1573"/>
      <c r="H63" s="1573"/>
      <c r="I63" s="1574"/>
      <c r="J63" s="1574"/>
      <c r="K63" s="1678">
        <f t="shared" si="7"/>
        <v>225367</v>
      </c>
      <c r="L63" s="1573">
        <v>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295679</v>
      </c>
      <c r="D65" s="1674">
        <f t="shared" ref="D65:L65" si="8">SUM(D59:D64)</f>
        <v>27441</v>
      </c>
      <c r="E65" s="1674">
        <f t="shared" si="8"/>
        <v>60690</v>
      </c>
      <c r="F65" s="1674">
        <f t="shared" si="8"/>
        <v>176070</v>
      </c>
      <c r="G65" s="1674">
        <f t="shared" si="8"/>
        <v>0</v>
      </c>
      <c r="H65" s="1674">
        <f t="shared" si="8"/>
        <v>0</v>
      </c>
      <c r="I65" s="1674">
        <f t="shared" si="8"/>
        <v>0</v>
      </c>
      <c r="J65" s="1674">
        <f t="shared" si="8"/>
        <v>0</v>
      </c>
      <c r="K65" s="1674">
        <f t="shared" si="8"/>
        <v>559880</v>
      </c>
      <c r="L65" s="1674">
        <f t="shared" si="8"/>
        <v>65050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3500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3500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779215</v>
      </c>
      <c r="D74" s="1681">
        <f t="shared" ref="D74:K74" si="10">SUM(D42,D47,D53,D57,D65,D72,D73)</f>
        <v>104727</v>
      </c>
      <c r="E74" s="1681">
        <f t="shared" si="10"/>
        <v>195788</v>
      </c>
      <c r="F74" s="1681">
        <f t="shared" si="10"/>
        <v>293200</v>
      </c>
      <c r="G74" s="1681">
        <f t="shared" si="10"/>
        <v>24293</v>
      </c>
      <c r="H74" s="1681">
        <f t="shared" si="10"/>
        <v>17681</v>
      </c>
      <c r="I74" s="1681">
        <f t="shared" si="10"/>
        <v>0</v>
      </c>
      <c r="J74" s="1681">
        <f t="shared" si="10"/>
        <v>0</v>
      </c>
      <c r="K74" s="1681">
        <f t="shared" si="10"/>
        <v>1414904</v>
      </c>
      <c r="L74" s="1681">
        <f>SUM(L42,L47,L53,L57,L65,L72,L73)</f>
        <v>842960</v>
      </c>
    </row>
    <row r="75" spans="1:14" s="254" customFormat="1" ht="15.75" customHeight="1" thickTop="1" thickBot="1" x14ac:dyDescent="0.25">
      <c r="A75" s="1348" t="s">
        <v>47</v>
      </c>
      <c r="B75" s="1349" t="s">
        <v>571</v>
      </c>
      <c r="C75" s="1649"/>
      <c r="D75" s="1649"/>
      <c r="E75" s="1649">
        <f>11473+631+58736+243</f>
        <v>71083</v>
      </c>
      <c r="F75" s="1649">
        <f>241+841+270</f>
        <v>1352</v>
      </c>
      <c r="G75" s="1649"/>
      <c r="H75" s="1649"/>
      <c r="I75" s="1627"/>
      <c r="J75" s="1627"/>
      <c r="K75" s="1674">
        <f>SUM(C75:J75)</f>
        <v>72435</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2039</v>
      </c>
      <c r="F78" s="1673"/>
      <c r="G78" s="1673"/>
      <c r="H78" s="1682"/>
      <c r="I78" s="1582"/>
      <c r="J78" s="1582"/>
      <c r="K78" s="1672">
        <f t="shared" ref="K78:K83" si="11">SUM(C78:J78)</f>
        <v>2039</v>
      </c>
      <c r="L78" s="1586">
        <v>0</v>
      </c>
    </row>
    <row r="79" spans="1:14" x14ac:dyDescent="0.2">
      <c r="A79" s="1274" t="s">
        <v>301</v>
      </c>
      <c r="B79" s="503">
        <v>4120</v>
      </c>
      <c r="C79" s="1673"/>
      <c r="D79" s="1673"/>
      <c r="E79" s="1573">
        <f>318076+25255</f>
        <v>343331</v>
      </c>
      <c r="F79" s="1673"/>
      <c r="G79" s="1673"/>
      <c r="H79" s="1573"/>
      <c r="I79" s="1582"/>
      <c r="J79" s="1582"/>
      <c r="K79" s="1672">
        <f t="shared" si="11"/>
        <v>343331</v>
      </c>
      <c r="L79" s="1573">
        <v>315000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345370</v>
      </c>
      <c r="F84" s="1673"/>
      <c r="G84" s="1673"/>
      <c r="H84" s="1674">
        <f>SUM(H78:H83)</f>
        <v>0</v>
      </c>
      <c r="I84" s="1582"/>
      <c r="J84" s="1582"/>
      <c r="K84" s="1674">
        <f>SUM(K78:K83)</f>
        <v>345370</v>
      </c>
      <c r="L84" s="1674">
        <f>SUM(L78:L83)</f>
        <v>315000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345370</v>
      </c>
      <c r="F102" s="1673"/>
      <c r="G102" s="1673"/>
      <c r="H102" s="1681">
        <f>SUM(H84,H92,H100,H101)</f>
        <v>0</v>
      </c>
      <c r="I102" s="1582"/>
      <c r="J102" s="1582"/>
      <c r="K102" s="1681">
        <f>SUM(K84,K92,K100,K101)</f>
        <v>345370</v>
      </c>
      <c r="L102" s="1681">
        <f>SUM(L84,L92,L100,L101)</f>
        <v>315000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20000</v>
      </c>
      <c r="M113" s="502"/>
      <c r="N113" s="502"/>
    </row>
    <row r="114" spans="1:14" ht="12.75" customHeight="1" thickTop="1" thickBot="1" x14ac:dyDescent="0.25">
      <c r="A114" s="1380" t="s">
        <v>48</v>
      </c>
      <c r="B114" s="1388"/>
      <c r="C114" s="1674">
        <f>SUM(C33,C74,C75,C102,C112,C113)</f>
        <v>3363762</v>
      </c>
      <c r="D114" s="1674">
        <f t="shared" ref="D114:K114" si="13">SUM(D33,D74,D75,D102,D112,D113)</f>
        <v>607487</v>
      </c>
      <c r="E114" s="1674">
        <f t="shared" si="13"/>
        <v>662583</v>
      </c>
      <c r="F114" s="1674">
        <f t="shared" si="13"/>
        <v>548259</v>
      </c>
      <c r="G114" s="1674">
        <f t="shared" si="13"/>
        <v>38938</v>
      </c>
      <c r="H114" s="1674">
        <f>SUM(H33,H74,H75,H102,H112,H113)</f>
        <v>23460</v>
      </c>
      <c r="I114" s="1674">
        <f t="shared" si="13"/>
        <v>0</v>
      </c>
      <c r="J114" s="1674">
        <f t="shared" si="13"/>
        <v>0</v>
      </c>
      <c r="K114" s="1674">
        <f t="shared" si="13"/>
        <v>5244489</v>
      </c>
      <c r="L114" s="1674">
        <f>SUM(L33,L74,L75,L102,L112,L113)</f>
        <v>5155540</v>
      </c>
    </row>
    <row r="115" spans="1:14" ht="13.5" thickTop="1" x14ac:dyDescent="0.2">
      <c r="A115" s="2261" t="s">
        <v>989</v>
      </c>
      <c r="B115" s="2262"/>
      <c r="C115" s="1675"/>
      <c r="D115" s="1675"/>
      <c r="E115" s="1675"/>
      <c r="F115" s="1675"/>
      <c r="G115" s="1675"/>
      <c r="H115" s="1675"/>
      <c r="I115" s="1675"/>
      <c r="J115" s="1675"/>
      <c r="K115" s="1689">
        <f>'Revenues 9-14'!C268-'Expenditures 15-22'!K114</f>
        <v>187628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f>9425+730</f>
        <v>10155</v>
      </c>
      <c r="F123" s="1573"/>
      <c r="G123" s="1573">
        <f>4200</f>
        <v>4200</v>
      </c>
      <c r="H123" s="1573"/>
      <c r="I123" s="1574"/>
      <c r="J123" s="1574"/>
      <c r="K123" s="1674">
        <f>SUM(C123:J123)</f>
        <v>14355</v>
      </c>
      <c r="L123" s="1573">
        <v>0</v>
      </c>
    </row>
    <row r="124" spans="1:14" ht="14.25" thickTop="1" thickBot="1" x14ac:dyDescent="0.25">
      <c r="A124" s="1274" t="s">
        <v>195</v>
      </c>
      <c r="B124" s="503">
        <v>2540</v>
      </c>
      <c r="C124" s="1573">
        <f>24038+29958+1030-3</f>
        <v>55023</v>
      </c>
      <c r="D124" s="1573">
        <f>1944+203+19+3240+338+31</f>
        <v>5775</v>
      </c>
      <c r="E124" s="1573">
        <f>3766+263+12608+473+2494</f>
        <v>19604</v>
      </c>
      <c r="F124" s="1573">
        <f>6937+17441+3391+4032+2093</f>
        <v>33894</v>
      </c>
      <c r="G124" s="1573">
        <f>3803+2106</f>
        <v>5909</v>
      </c>
      <c r="H124" s="1573"/>
      <c r="I124" s="1574"/>
      <c r="J124" s="1574"/>
      <c r="K124" s="1674">
        <f>SUM(C124:J124)</f>
        <v>120205</v>
      </c>
      <c r="L124" s="1573">
        <v>123450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55023</v>
      </c>
      <c r="D127" s="1674">
        <f t="shared" ref="D127:L127" si="14">SUM(D122:D126)</f>
        <v>5775</v>
      </c>
      <c r="E127" s="1674">
        <f t="shared" si="14"/>
        <v>29759</v>
      </c>
      <c r="F127" s="1674">
        <f t="shared" si="14"/>
        <v>33894</v>
      </c>
      <c r="G127" s="1674">
        <f t="shared" si="14"/>
        <v>10109</v>
      </c>
      <c r="H127" s="1674">
        <f t="shared" si="14"/>
        <v>0</v>
      </c>
      <c r="I127" s="1674">
        <f t="shared" si="14"/>
        <v>0</v>
      </c>
      <c r="J127" s="1674">
        <f t="shared" si="14"/>
        <v>0</v>
      </c>
      <c r="K127" s="1674">
        <f t="shared" si="14"/>
        <v>134560</v>
      </c>
      <c r="L127" s="1674">
        <f t="shared" si="14"/>
        <v>123450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55023</v>
      </c>
      <c r="D129" s="1681">
        <f t="shared" ref="D129:L129" si="15">SUM(D120,D127,D128)</f>
        <v>5775</v>
      </c>
      <c r="E129" s="1681">
        <f t="shared" si="15"/>
        <v>29759</v>
      </c>
      <c r="F129" s="1681">
        <f t="shared" si="15"/>
        <v>33894</v>
      </c>
      <c r="G129" s="1681">
        <f t="shared" si="15"/>
        <v>10109</v>
      </c>
      <c r="H129" s="1681">
        <f t="shared" si="15"/>
        <v>0</v>
      </c>
      <c r="I129" s="1681">
        <f t="shared" si="15"/>
        <v>0</v>
      </c>
      <c r="J129" s="1681">
        <f t="shared" si="15"/>
        <v>0</v>
      </c>
      <c r="K129" s="1681">
        <f t="shared" si="15"/>
        <v>134560</v>
      </c>
      <c r="L129" s="1681">
        <f t="shared" si="15"/>
        <v>123450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15000</v>
      </c>
    </row>
    <row r="151" spans="1:14" ht="12.75" customHeight="1" thickTop="1" thickBot="1" x14ac:dyDescent="0.25">
      <c r="A151" s="2278" t="s">
        <v>616</v>
      </c>
      <c r="B151" s="2258"/>
      <c r="C151" s="1674">
        <f>SUM(C129,C130,C139,C149,C150)</f>
        <v>55023</v>
      </c>
      <c r="D151" s="1674">
        <f t="shared" ref="D151:K151" si="16">SUM(D129,D130,D139,D149,D150)</f>
        <v>5775</v>
      </c>
      <c r="E151" s="1674">
        <f t="shared" si="16"/>
        <v>29759</v>
      </c>
      <c r="F151" s="1674">
        <f t="shared" si="16"/>
        <v>33894</v>
      </c>
      <c r="G151" s="1674">
        <f t="shared" si="16"/>
        <v>10109</v>
      </c>
      <c r="H151" s="1674">
        <f t="shared" si="16"/>
        <v>0</v>
      </c>
      <c r="I151" s="1674">
        <f t="shared" si="16"/>
        <v>0</v>
      </c>
      <c r="J151" s="1674">
        <f t="shared" si="16"/>
        <v>0</v>
      </c>
      <c r="K151" s="1674">
        <f t="shared" si="16"/>
        <v>134560</v>
      </c>
      <c r="L151" s="1674">
        <f>SUM(L129,L130,L139,L149,L150)</f>
        <v>138450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148384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68605</v>
      </c>
      <c r="I169" s="1673"/>
      <c r="J169" s="1673"/>
      <c r="K169" s="1672">
        <f>SUM(C169:H169)</f>
        <v>68605</v>
      </c>
      <c r="L169" s="1695">
        <v>68603</v>
      </c>
    </row>
    <row r="170" spans="1:14" ht="33.75" customHeight="1" x14ac:dyDescent="0.2">
      <c r="A170" s="543" t="s">
        <v>1651</v>
      </c>
      <c r="B170" s="545" t="s">
        <v>31</v>
      </c>
      <c r="C170" s="1673"/>
      <c r="D170" s="1673"/>
      <c r="E170" s="1673"/>
      <c r="F170" s="1673"/>
      <c r="G170" s="1673"/>
      <c r="H170" s="1646">
        <v>109000</v>
      </c>
      <c r="I170" s="1673"/>
      <c r="J170" s="1673"/>
      <c r="K170" s="1672">
        <f>SUM(C170:J170)</f>
        <v>109000</v>
      </c>
      <c r="L170" s="1646">
        <v>109000</v>
      </c>
    </row>
    <row r="171" spans="1:14" ht="15.75" customHeight="1" x14ac:dyDescent="0.2">
      <c r="A171" s="507" t="s">
        <v>761</v>
      </c>
      <c r="B171" s="546" t="s">
        <v>84</v>
      </c>
      <c r="C171" s="1673"/>
      <c r="D171" s="1673"/>
      <c r="E171" s="1573">
        <v>150</v>
      </c>
      <c r="F171" s="1673"/>
      <c r="G171" s="1673"/>
      <c r="H171" s="1646"/>
      <c r="I171" s="1582"/>
      <c r="J171" s="1673"/>
      <c r="K171" s="1672">
        <f>SUM(C171:J171)</f>
        <v>150</v>
      </c>
      <c r="L171" s="1646">
        <v>0</v>
      </c>
    </row>
    <row r="172" spans="1:14" ht="12.75" customHeight="1" thickBot="1" x14ac:dyDescent="0.25">
      <c r="A172" s="1380" t="s">
        <v>633</v>
      </c>
      <c r="B172" s="1381" t="s">
        <v>489</v>
      </c>
      <c r="C172" s="1673"/>
      <c r="D172" s="1673"/>
      <c r="E172" s="1681">
        <f>SUM(E168,E169,E170,E171)</f>
        <v>150</v>
      </c>
      <c r="F172" s="1673"/>
      <c r="G172" s="1673"/>
      <c r="H172" s="1681">
        <f>SUM(H168,H169,H170,H171)</f>
        <v>177605</v>
      </c>
      <c r="I172" s="1684"/>
      <c r="J172" s="1673"/>
      <c r="K172" s="1681">
        <f>SUM(K168,K169,K170,K171)</f>
        <v>177755</v>
      </c>
      <c r="L172" s="1681">
        <f>SUM(L168,L169,L170,L171)</f>
        <v>177603</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150</v>
      </c>
      <c r="F174" s="1673"/>
      <c r="G174" s="1673"/>
      <c r="H174" s="1681">
        <f>SUM(H160,H172,H173)</f>
        <v>177605</v>
      </c>
      <c r="I174" s="1684"/>
      <c r="J174" s="1673"/>
      <c r="K174" s="1681">
        <f>SUM(K160,K172,K173)</f>
        <v>177755</v>
      </c>
      <c r="L174" s="1681">
        <f>SUM(L160,L172,L173)</f>
        <v>177603</v>
      </c>
    </row>
    <row r="175" spans="1:14" ht="13.5" thickTop="1" x14ac:dyDescent="0.2">
      <c r="A175" s="2261" t="s">
        <v>989</v>
      </c>
      <c r="B175" s="2262"/>
      <c r="C175" s="1673"/>
      <c r="D175" s="1673"/>
      <c r="E175" s="1673"/>
      <c r="F175" s="1673"/>
      <c r="G175" s="1673"/>
      <c r="H175" s="1675"/>
      <c r="I175" s="1673"/>
      <c r="J175" s="1673"/>
      <c r="K175" s="1689">
        <f>'Revenues 9-14'!E268-'Expenditures 15-22'!K174</f>
        <v>-151009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24038+46847+514+6610+18401-3</f>
        <v>96407</v>
      </c>
      <c r="D182" s="1573">
        <f>1944+203+19+4860+507+47</f>
        <v>7580</v>
      </c>
      <c r="E182" s="1573">
        <f>2400+684+684+102+837+839+13557</f>
        <v>19103</v>
      </c>
      <c r="F182" s="1573">
        <f>89+13887+2616+500+4458</f>
        <v>21550</v>
      </c>
      <c r="G182" s="1573"/>
      <c r="H182" s="1573"/>
      <c r="I182" s="1574"/>
      <c r="J182" s="1574"/>
      <c r="K182" s="1672">
        <f>SUM(C182:J182)</f>
        <v>144640</v>
      </c>
      <c r="L182" s="1573">
        <v>244000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96407</v>
      </c>
      <c r="D184" s="1681">
        <f t="shared" ref="D184:J184" si="17">SUM(D180,D182,D183)</f>
        <v>7580</v>
      </c>
      <c r="E184" s="1681">
        <f t="shared" si="17"/>
        <v>19103</v>
      </c>
      <c r="F184" s="1681">
        <f t="shared" si="17"/>
        <v>21550</v>
      </c>
      <c r="G184" s="1681">
        <f t="shared" si="17"/>
        <v>0</v>
      </c>
      <c r="H184" s="1681">
        <f t="shared" si="17"/>
        <v>0</v>
      </c>
      <c r="I184" s="1681">
        <f t="shared" si="17"/>
        <v>0</v>
      </c>
      <c r="J184" s="1681">
        <f t="shared" si="17"/>
        <v>0</v>
      </c>
      <c r="K184" s="1681">
        <f>SUM(K180,K182,K183)</f>
        <v>144640</v>
      </c>
      <c r="L184" s="1681">
        <f>SUM(L180, L182:L183)</f>
        <v>244000</v>
      </c>
    </row>
    <row r="185" spans="1:14" ht="15.75" customHeight="1" thickTop="1" thickBot="1" x14ac:dyDescent="0.25">
      <c r="A185" s="1360" t="s">
        <v>933</v>
      </c>
      <c r="B185" s="1349">
        <v>3000</v>
      </c>
      <c r="C185" s="1651"/>
      <c r="D185" s="1651"/>
      <c r="E185" s="1651">
        <f>1304</f>
        <v>1304</v>
      </c>
      <c r="F185" s="1651"/>
      <c r="G185" s="1651"/>
      <c r="H185" s="1651"/>
      <c r="I185" s="1627"/>
      <c r="J185" s="1627"/>
      <c r="K185" s="1674">
        <f>SUM(C185:J185)</f>
        <v>1304</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6330</v>
      </c>
      <c r="I205" s="1673"/>
      <c r="J205" s="1673"/>
      <c r="K205" s="1696">
        <f>SUM(H205)</f>
        <v>6330</v>
      </c>
      <c r="L205" s="1630">
        <v>0</v>
      </c>
    </row>
    <row r="206" spans="1:14" ht="30" customHeight="1" x14ac:dyDescent="0.2">
      <c r="A206" s="555" t="s">
        <v>1652</v>
      </c>
      <c r="B206" s="546" t="s">
        <v>31</v>
      </c>
      <c r="C206" s="1673"/>
      <c r="D206" s="1673"/>
      <c r="E206" s="1673"/>
      <c r="F206" s="1673"/>
      <c r="G206" s="1673"/>
      <c r="H206" s="1573">
        <v>42273</v>
      </c>
      <c r="I206" s="1673"/>
      <c r="J206" s="1673"/>
      <c r="K206" s="1672">
        <f>SUM(H206)</f>
        <v>42273</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48603</v>
      </c>
      <c r="I208" s="1673"/>
      <c r="J208" s="1673"/>
      <c r="K208" s="1681">
        <f>SUM(K204,K205,K206,K207)</f>
        <v>48603</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12000</v>
      </c>
    </row>
    <row r="210" spans="1:14" ht="12.75" customHeight="1" thickTop="1" thickBot="1" x14ac:dyDescent="0.25">
      <c r="A210" s="1394" t="s">
        <v>275</v>
      </c>
      <c r="B210" s="1395"/>
      <c r="C210" s="1674">
        <f>SUM(C184,C185)</f>
        <v>96407</v>
      </c>
      <c r="D210" s="1674">
        <f>SUM(D184,D185)</f>
        <v>7580</v>
      </c>
      <c r="E210" s="1674">
        <f>SUM(E184,E185,E196)</f>
        <v>20407</v>
      </c>
      <c r="F210" s="1674">
        <f>SUM(F184,F185)</f>
        <v>21550</v>
      </c>
      <c r="G210" s="1674">
        <f>SUM(G184,G185)</f>
        <v>0</v>
      </c>
      <c r="H210" s="1674">
        <f>SUM(H184,H185,H196,H208,H209)</f>
        <v>48603</v>
      </c>
      <c r="I210" s="1674">
        <f>SUM(I184,I185)</f>
        <v>0</v>
      </c>
      <c r="J210" s="1674">
        <f>SUM(J184,J185)</f>
        <v>0</v>
      </c>
      <c r="K210" s="1672">
        <f>SUM(K184,K185,K196,K208,K209)</f>
        <v>194547</v>
      </c>
      <c r="L210" s="1674">
        <f>SUM(L184,L185,L196,L208,L209)</f>
        <v>256000</v>
      </c>
    </row>
    <row r="211" spans="1:14" ht="13.5" thickTop="1" x14ac:dyDescent="0.2">
      <c r="A211" s="2261" t="s">
        <v>989</v>
      </c>
      <c r="B211" s="2262"/>
      <c r="C211" s="1675"/>
      <c r="D211" s="1675"/>
      <c r="E211" s="1675"/>
      <c r="F211" s="1675"/>
      <c r="G211" s="1675"/>
      <c r="H211" s="1675"/>
      <c r="I211" s="1673"/>
      <c r="J211" s="1673"/>
      <c r="K211" s="1689">
        <f>'Revenues 9-14'!F268-'Expenditures 15-22'!K210</f>
        <v>90619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207+17014+11914</f>
        <v>29135</v>
      </c>
      <c r="E215" s="1673"/>
      <c r="F215" s="1673"/>
      <c r="G215" s="1673"/>
      <c r="H215" s="1673"/>
      <c r="I215" s="1673"/>
      <c r="J215" s="1673"/>
      <c r="K215" s="1672">
        <f>D215</f>
        <v>29135</v>
      </c>
      <c r="L215" s="1573">
        <v>215200</v>
      </c>
    </row>
    <row r="216" spans="1:14" x14ac:dyDescent="0.2">
      <c r="A216" s="1274" t="s">
        <v>162</v>
      </c>
      <c r="B216" s="503" t="s">
        <v>961</v>
      </c>
      <c r="C216" s="1673"/>
      <c r="D216" s="1574">
        <f>4049+2363+1235+3</f>
        <v>7650</v>
      </c>
      <c r="E216" s="1673"/>
      <c r="F216" s="1673"/>
      <c r="G216" s="1673"/>
      <c r="H216" s="1673"/>
      <c r="I216" s="1673"/>
      <c r="J216" s="1673"/>
      <c r="K216" s="1672">
        <f t="shared" ref="K216:K228" si="19">D216</f>
        <v>7650</v>
      </c>
      <c r="L216" s="1573">
        <v>12500</v>
      </c>
    </row>
    <row r="217" spans="1:14" x14ac:dyDescent="0.2">
      <c r="A217" s="1274" t="s">
        <v>163</v>
      </c>
      <c r="B217" s="503">
        <v>1200</v>
      </c>
      <c r="C217" s="1673"/>
      <c r="D217" s="1573">
        <f>6029+3642+3301+275+2311+1362+10</f>
        <v>16930</v>
      </c>
      <c r="E217" s="1673"/>
      <c r="F217" s="1673"/>
      <c r="G217" s="1673"/>
      <c r="H217" s="1673"/>
      <c r="I217" s="1673"/>
      <c r="J217" s="1673"/>
      <c r="K217" s="1672">
        <f t="shared" si="19"/>
        <v>16930</v>
      </c>
      <c r="L217" s="1573">
        <v>22000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f>1972+1939+536+0</f>
        <v>4447</v>
      </c>
      <c r="E219" s="1673"/>
      <c r="F219" s="1673"/>
      <c r="G219" s="1673"/>
      <c r="H219" s="1673"/>
      <c r="I219" s="1673"/>
      <c r="J219" s="1673"/>
      <c r="K219" s="1672">
        <f t="shared" si="19"/>
        <v>4447</v>
      </c>
      <c r="L219" s="1573">
        <v>3700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f>290+367+429+1294+601-48</f>
        <v>2933</v>
      </c>
      <c r="E223" s="1673"/>
      <c r="F223" s="1673"/>
      <c r="G223" s="1673"/>
      <c r="H223" s="1673"/>
      <c r="I223" s="1673"/>
      <c r="J223" s="1673"/>
      <c r="K223" s="1672">
        <f t="shared" si="19"/>
        <v>2933</v>
      </c>
      <c r="L223" s="1573">
        <v>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61095</v>
      </c>
      <c r="E229" s="1673"/>
      <c r="F229" s="1673"/>
      <c r="G229" s="1673"/>
      <c r="H229" s="1673"/>
      <c r="I229" s="1673"/>
      <c r="J229" s="1673"/>
      <c r="K229" s="1674">
        <f>SUM(K215:K228)</f>
        <v>61095</v>
      </c>
      <c r="L229" s="1674">
        <f>SUM(L215:L228)</f>
        <v>253400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c r="E233" s="1673"/>
      <c r="F233" s="1673"/>
      <c r="G233" s="1673"/>
      <c r="H233" s="1673"/>
      <c r="I233" s="1673"/>
      <c r="J233" s="1673"/>
      <c r="K233" s="1672">
        <f t="shared" si="20"/>
        <v>0</v>
      </c>
      <c r="L233" s="1573">
        <v>32000</v>
      </c>
    </row>
    <row r="234" spans="1:12" x14ac:dyDescent="0.2">
      <c r="A234" s="1274" t="s">
        <v>196</v>
      </c>
      <c r="B234" s="503">
        <v>2130</v>
      </c>
      <c r="C234" s="1673"/>
      <c r="D234" s="1573">
        <f>5463+3225</f>
        <v>8688</v>
      </c>
      <c r="E234" s="1673"/>
      <c r="F234" s="1673"/>
      <c r="G234" s="1673"/>
      <c r="H234" s="1673"/>
      <c r="I234" s="1673"/>
      <c r="J234" s="1673"/>
      <c r="K234" s="1672">
        <f t="shared" si="20"/>
        <v>8688</v>
      </c>
      <c r="L234" s="1573">
        <v>9000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f>631</f>
        <v>631</v>
      </c>
      <c r="E236" s="1673"/>
      <c r="F236" s="1673"/>
      <c r="G236" s="1673"/>
      <c r="H236" s="1673"/>
      <c r="I236" s="1673"/>
      <c r="J236" s="1673"/>
      <c r="K236" s="1672">
        <f t="shared" si="20"/>
        <v>631</v>
      </c>
      <c r="L236" s="1573">
        <v>1100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9319</v>
      </c>
      <c r="E238" s="1673"/>
      <c r="F238" s="1673"/>
      <c r="G238" s="1673"/>
      <c r="H238" s="1673"/>
      <c r="I238" s="1673"/>
      <c r="J238" s="1673"/>
      <c r="K238" s="1674">
        <f>SUM(K232:K237)</f>
        <v>9319</v>
      </c>
      <c r="L238" s="1674">
        <f>SUM(L232:L237)</f>
        <v>42100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f>864</f>
        <v>864</v>
      </c>
      <c r="E241" s="1673"/>
      <c r="F241" s="1673"/>
      <c r="G241" s="1673"/>
      <c r="H241" s="1673"/>
      <c r="I241" s="1673"/>
      <c r="J241" s="1673"/>
      <c r="K241" s="1678">
        <f>D241</f>
        <v>864</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864</v>
      </c>
      <c r="E243" s="1673"/>
      <c r="F243" s="1673"/>
      <c r="G243" s="1673"/>
      <c r="H243" s="1673"/>
      <c r="I243" s="1673"/>
      <c r="J243" s="1673"/>
      <c r="K243" s="1674">
        <f>SUM(K240:K242)</f>
        <v>864</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f>5049+2767+1322</f>
        <v>9138</v>
      </c>
      <c r="E246" s="1673"/>
      <c r="F246" s="1673"/>
      <c r="G246" s="1673"/>
      <c r="H246" s="1673"/>
      <c r="I246" s="1673"/>
      <c r="J246" s="1673"/>
      <c r="K246" s="1678">
        <f t="shared" ref="K246:K256" si="21">D246</f>
        <v>9138</v>
      </c>
      <c r="L246" s="1573">
        <v>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f>2222+2698+562</f>
        <v>5482</v>
      </c>
      <c r="E249" s="1673"/>
      <c r="F249" s="1673"/>
      <c r="G249" s="1673"/>
      <c r="H249" s="1673"/>
      <c r="I249" s="1673"/>
      <c r="J249" s="1673"/>
      <c r="K249" s="1678">
        <f t="shared" si="21"/>
        <v>5482</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14620</v>
      </c>
      <c r="E257" s="1673"/>
      <c r="F257" s="1673"/>
      <c r="G257" s="1673"/>
      <c r="H257" s="1673"/>
      <c r="I257" s="1673"/>
      <c r="J257" s="1673"/>
      <c r="K257" s="1674">
        <f>SUM(K245:K256)</f>
        <v>14620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4412+4875+2963+2627+1106+973</f>
        <v>16956</v>
      </c>
      <c r="E259" s="1673"/>
      <c r="F259" s="1673"/>
      <c r="G259" s="1673"/>
      <c r="H259" s="1673"/>
      <c r="I259" s="1673"/>
      <c r="J259" s="1673"/>
      <c r="K259" s="1678">
        <f>D259</f>
        <v>16956</v>
      </c>
      <c r="L259" s="1586">
        <v>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16956</v>
      </c>
      <c r="E261" s="1673"/>
      <c r="F261" s="1673"/>
      <c r="G261" s="1673"/>
      <c r="H261" s="1673"/>
      <c r="I261" s="1673"/>
      <c r="J261" s="1673"/>
      <c r="K261" s="1674">
        <f>SUM(K259:K260)</f>
        <v>16956</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f>7157+3931</f>
        <v>11088</v>
      </c>
      <c r="E264" s="1673"/>
      <c r="F264" s="1673"/>
      <c r="G264" s="1673"/>
      <c r="H264" s="1673"/>
      <c r="I264" s="1673"/>
      <c r="J264" s="1673"/>
      <c r="K264" s="1678">
        <f t="shared" ref="K264:K269" si="22">D264</f>
        <v>11088</v>
      </c>
      <c r="L264" s="1573">
        <v>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f>3514+1926+4055+2374+23+13478+3380+584+8375+1989</f>
        <v>39698</v>
      </c>
      <c r="E266" s="1673"/>
      <c r="F266" s="1673"/>
      <c r="G266" s="1673"/>
      <c r="H266" s="1673"/>
      <c r="I266" s="1673"/>
      <c r="J266" s="1673"/>
      <c r="K266" s="1678">
        <f t="shared" si="22"/>
        <v>39698</v>
      </c>
      <c r="L266" s="1573">
        <v>0</v>
      </c>
    </row>
    <row r="267" spans="1:14" x14ac:dyDescent="0.2">
      <c r="A267" s="1274" t="s">
        <v>947</v>
      </c>
      <c r="B267" s="503">
        <v>2550</v>
      </c>
      <c r="C267" s="1673"/>
      <c r="D267" s="1573">
        <f>3514+1925+8697+68+891+5807+41+524</f>
        <v>21467</v>
      </c>
      <c r="E267" s="1673"/>
      <c r="F267" s="1673"/>
      <c r="G267" s="1673"/>
      <c r="H267" s="1673"/>
      <c r="I267" s="1673"/>
      <c r="J267" s="1673"/>
      <c r="K267" s="1678">
        <f t="shared" si="22"/>
        <v>21467</v>
      </c>
      <c r="L267" s="1573">
        <v>0</v>
      </c>
    </row>
    <row r="268" spans="1:14" x14ac:dyDescent="0.2">
      <c r="A268" s="1274" t="s">
        <v>100</v>
      </c>
      <c r="B268" s="503">
        <v>2560</v>
      </c>
      <c r="C268" s="1673"/>
      <c r="D268" s="1573">
        <f>13735+8647</f>
        <v>22382</v>
      </c>
      <c r="E268" s="1673"/>
      <c r="F268" s="1673"/>
      <c r="G268" s="1673"/>
      <c r="H268" s="1673"/>
      <c r="I268" s="1673"/>
      <c r="J268" s="1673"/>
      <c r="K268" s="1678">
        <f t="shared" si="22"/>
        <v>22382</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94635</v>
      </c>
      <c r="E270" s="1673"/>
      <c r="F270" s="1673"/>
      <c r="G270" s="1673"/>
      <c r="H270" s="1673"/>
      <c r="I270" s="1673"/>
      <c r="J270" s="1673"/>
      <c r="K270" s="1674">
        <f>SUM(K263:K269)</f>
        <v>94635</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136394</v>
      </c>
      <c r="E279" s="1673"/>
      <c r="F279" s="1673"/>
      <c r="G279" s="1673"/>
      <c r="H279" s="1673"/>
      <c r="I279" s="1673"/>
      <c r="J279" s="1673"/>
      <c r="K279" s="1681">
        <f>SUM(K238,K243,K257,K261,K270,K277,K278)</f>
        <v>136394</v>
      </c>
      <c r="L279" s="1681">
        <f>SUM(L238,L243,L257,L261,L270,L277,L278)</f>
        <v>42100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197489</v>
      </c>
      <c r="E295" s="1673"/>
      <c r="F295" s="1673"/>
      <c r="G295" s="1673"/>
      <c r="H295" s="1674">
        <f>H293</f>
        <v>0</v>
      </c>
      <c r="I295" s="1673"/>
      <c r="J295" s="1673"/>
      <c r="K295" s="1674">
        <f>SUM(K229,K279,K280,K285,K293,K294)</f>
        <v>197489</v>
      </c>
      <c r="L295" s="1674">
        <f>SUM(L229,L279,L280,L285,L293,L294)</f>
        <v>295500</v>
      </c>
    </row>
    <row r="296" spans="1:14" ht="13.5" thickTop="1" x14ac:dyDescent="0.2">
      <c r="A296" s="2261" t="s">
        <v>989</v>
      </c>
      <c r="B296" s="2262"/>
      <c r="C296" s="1673"/>
      <c r="D296" s="1675"/>
      <c r="E296" s="1673"/>
      <c r="F296" s="1673"/>
      <c r="G296" s="1673"/>
      <c r="H296" s="1707"/>
      <c r="I296" s="1673"/>
      <c r="J296" s="1673"/>
      <c r="K296" s="1689">
        <f>'Revenues 9-14'!G268-'Expenditures 15-22'!K295</f>
        <v>-71147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187153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12000</v>
      </c>
      <c r="M319" s="539"/>
      <c r="N319" s="539"/>
    </row>
    <row r="320" spans="1:14" s="548" customFormat="1" x14ac:dyDescent="0.2">
      <c r="A320" s="1293" t="s">
        <v>1782</v>
      </c>
      <c r="B320" s="568" t="s">
        <v>280</v>
      </c>
      <c r="C320" s="1574">
        <f>22299+51068</f>
        <v>73367</v>
      </c>
      <c r="D320" s="1574">
        <f>4079+918+2257+225+21</f>
        <v>7500</v>
      </c>
      <c r="E320" s="1574">
        <f>22468+19666+1735+31561+33955+767+6153</f>
        <v>116305</v>
      </c>
      <c r="F320" s="1574">
        <v>4331</v>
      </c>
      <c r="G320" s="1574"/>
      <c r="H320" s="1574"/>
      <c r="I320" s="1574"/>
      <c r="J320" s="1574"/>
      <c r="K320" s="1672">
        <f t="shared" ref="K320:K327" si="24">SUM(C320:J320)</f>
        <v>201503</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640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32000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95000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15000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31600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73367</v>
      </c>
      <c r="D330" s="1674">
        <f t="shared" ref="D330:J330" si="25">SUM(D319:D329)</f>
        <v>7500</v>
      </c>
      <c r="E330" s="1674">
        <f t="shared" si="25"/>
        <v>116305</v>
      </c>
      <c r="F330" s="1674">
        <f t="shared" si="25"/>
        <v>4331</v>
      </c>
      <c r="G330" s="1674">
        <f t="shared" si="25"/>
        <v>0</v>
      </c>
      <c r="H330" s="1674">
        <f t="shared" si="25"/>
        <v>0</v>
      </c>
      <c r="I330" s="1674">
        <f t="shared" si="25"/>
        <v>0</v>
      </c>
      <c r="J330" s="1674">
        <f t="shared" si="25"/>
        <v>0</v>
      </c>
      <c r="K330" s="1674">
        <f>SUM(K319:K329)</f>
        <v>201503</v>
      </c>
      <c r="L330" s="1674">
        <f>SUM(L319:L329)</f>
        <v>186240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10000</v>
      </c>
    </row>
    <row r="342" spans="1:14" ht="12.75" customHeight="1" thickTop="1" thickBot="1" x14ac:dyDescent="0.25">
      <c r="A342" s="1389" t="s">
        <v>502</v>
      </c>
      <c r="B342" s="1402"/>
      <c r="C342" s="1674">
        <f>SUM(C330)</f>
        <v>73367</v>
      </c>
      <c r="D342" s="1674">
        <f>SUM(D330)</f>
        <v>7500</v>
      </c>
      <c r="E342" s="1674">
        <f>SUM(E330)</f>
        <v>116305</v>
      </c>
      <c r="F342" s="1674">
        <f>SUM(F330)</f>
        <v>4331</v>
      </c>
      <c r="G342" s="1674">
        <f>SUM(G330)</f>
        <v>0</v>
      </c>
      <c r="H342" s="1674">
        <f>SUM(H330,H334,H340)</f>
        <v>0</v>
      </c>
      <c r="I342" s="1674">
        <f>SUM(I330)</f>
        <v>0</v>
      </c>
      <c r="J342" s="1674">
        <f>SUM(J330)</f>
        <v>0</v>
      </c>
      <c r="K342" s="1674">
        <f>SUM(K330,K334,K340)</f>
        <v>201503</v>
      </c>
      <c r="L342" s="1681">
        <f>SUM(L330,L334,L340,L341)</f>
        <v>196240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128302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f>1714-1</f>
        <v>1713</v>
      </c>
      <c r="F349" s="1573"/>
      <c r="G349" s="1573"/>
      <c r="H349" s="1573"/>
      <c r="I349" s="1574"/>
      <c r="J349" s="1574"/>
      <c r="K349" s="1672">
        <f>SUM(C349:J349)</f>
        <v>1713</v>
      </c>
      <c r="L349" s="1573">
        <v>18000</v>
      </c>
    </row>
    <row r="350" spans="1:14" ht="12.75" customHeight="1" thickBot="1" x14ac:dyDescent="0.25">
      <c r="A350" s="1380" t="s">
        <v>714</v>
      </c>
      <c r="B350" s="1381" t="s">
        <v>35</v>
      </c>
      <c r="C350" s="1674">
        <f>SUM(C348:C349)</f>
        <v>0</v>
      </c>
      <c r="D350" s="1674">
        <f t="shared" ref="D350:L350" si="26">SUM(D348:D349)</f>
        <v>0</v>
      </c>
      <c r="E350" s="1674">
        <f t="shared" si="26"/>
        <v>1713</v>
      </c>
      <c r="F350" s="1674">
        <f t="shared" si="26"/>
        <v>0</v>
      </c>
      <c r="G350" s="1674">
        <f t="shared" si="26"/>
        <v>0</v>
      </c>
      <c r="H350" s="1674">
        <f t="shared" si="26"/>
        <v>0</v>
      </c>
      <c r="I350" s="1674">
        <f t="shared" si="26"/>
        <v>0</v>
      </c>
      <c r="J350" s="1674">
        <f t="shared" si="26"/>
        <v>0</v>
      </c>
      <c r="K350" s="1674">
        <f t="shared" si="26"/>
        <v>1713</v>
      </c>
      <c r="L350" s="1674">
        <f t="shared" si="26"/>
        <v>18000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1713</v>
      </c>
      <c r="F352" s="1674">
        <f t="shared" si="27"/>
        <v>0</v>
      </c>
      <c r="G352" s="1674">
        <f t="shared" si="27"/>
        <v>0</v>
      </c>
      <c r="H352" s="1674">
        <f t="shared" si="27"/>
        <v>0</v>
      </c>
      <c r="I352" s="1674">
        <f t="shared" si="27"/>
        <v>0</v>
      </c>
      <c r="J352" s="1674">
        <f t="shared" si="27"/>
        <v>0</v>
      </c>
      <c r="K352" s="1674">
        <f t="shared" si="27"/>
        <v>1713</v>
      </c>
      <c r="L352" s="1674">
        <f t="shared" si="27"/>
        <v>18000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12000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1713</v>
      </c>
      <c r="F367" s="1674">
        <f t="shared" si="28"/>
        <v>0</v>
      </c>
      <c r="G367" s="1674">
        <f t="shared" si="28"/>
        <v>0</v>
      </c>
      <c r="H367" s="1674">
        <f t="shared" si="28"/>
        <v>0</v>
      </c>
      <c r="I367" s="1674">
        <f t="shared" si="28"/>
        <v>0</v>
      </c>
      <c r="J367" s="1674">
        <f t="shared" si="28"/>
        <v>0</v>
      </c>
      <c r="K367" s="1674">
        <f t="shared" si="28"/>
        <v>1713</v>
      </c>
      <c r="L367" s="1674">
        <f t="shared" si="28"/>
        <v>30000</v>
      </c>
    </row>
    <row r="368" spans="1:14" ht="13.5" thickTop="1" x14ac:dyDescent="0.2">
      <c r="A368" s="2261" t="s">
        <v>989</v>
      </c>
      <c r="B368" s="2262"/>
      <c r="C368" s="1694"/>
      <c r="D368" s="1694"/>
      <c r="E368" s="1677"/>
      <c r="F368" s="1677"/>
      <c r="G368" s="1677"/>
      <c r="H368" s="1677"/>
      <c r="I368" s="1677"/>
      <c r="J368" s="1676"/>
      <c r="K368" s="1672">
        <f>'Revenues 9-14'!K268-'Expenditures 15-22'!K367</f>
        <v>25810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purl.org/dc/elements/1.1/"/>
    <ds:schemaRef ds:uri="http://purl.org/dc/dcmitype/"/>
    <ds:schemaRef ds:uri="d21dc803-237d-4c68-8692-8d731fd29118"/>
    <ds:schemaRef ds:uri="http://schemas.microsoft.com/office/2006/metadata/properties"/>
    <ds:schemaRef ds:uri="http://www.w3.org/XML/1998/namespace"/>
    <ds:schemaRef ds:uri="http://schemas.microsoft.com/office/infopath/2007/PartnerControls"/>
    <ds:schemaRef ds:uri="http://schemas.microsoft.com/sharepoint/v3"/>
    <ds:schemaRef ds:uri="4d435f69-8686-490b-bd6d-b153bf22ab50"/>
    <ds:schemaRef ds:uri="6ce3111e-7420-4802-b50a-75d4e9a0b980"/>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2020-10-02T19:55:34Z</cp:lastPrinted>
  <dcterms:created xsi:type="dcterms:W3CDTF">2003-10-29T19:06:34Z</dcterms:created>
  <dcterms:modified xsi:type="dcterms:W3CDTF">2020-11-16T21:03:10Z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