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22E96EE-7FCA-4BB6-ABD4-29D080B292B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2)"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7">'AC Tort (v1) 32-33 (2)'!$A$1:$N$68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7" i="184" l="1"/>
  <c r="E66" i="184"/>
  <c r="N66" i="184" s="1"/>
  <c r="E65" i="184"/>
  <c r="E64" i="184"/>
  <c r="E63" i="184"/>
  <c r="N63" i="184" s="1"/>
  <c r="E62" i="184"/>
  <c r="E61" i="184"/>
  <c r="E60" i="184"/>
  <c r="N60" i="184" s="1"/>
  <c r="E59" i="184"/>
  <c r="E58" i="184"/>
  <c r="E57" i="184"/>
  <c r="F15" i="184"/>
  <c r="F19" i="184" s="1"/>
  <c r="E17" i="184"/>
  <c r="E16" i="184"/>
  <c r="E15" i="184"/>
  <c r="E14" i="184"/>
  <c r="E13" i="184"/>
  <c r="E12" i="184"/>
  <c r="J7" i="184"/>
  <c r="L53" i="184" s="1"/>
  <c r="J6" i="184"/>
  <c r="L52" i="184" s="1"/>
  <c r="L12" i="184"/>
  <c r="L13" i="184"/>
  <c r="L14" i="184"/>
  <c r="L15" i="184"/>
  <c r="L16" i="184"/>
  <c r="L17" i="184"/>
  <c r="H18" i="184"/>
  <c r="L18" i="184"/>
  <c r="I19" i="184"/>
  <c r="J19" i="184"/>
  <c r="K19" i="184"/>
  <c r="N58" i="184"/>
  <c r="N59" i="184"/>
  <c r="N61" i="184"/>
  <c r="N62" i="184"/>
  <c r="N64" i="184"/>
  <c r="N65" i="184"/>
  <c r="N67" i="184"/>
  <c r="G68" i="184"/>
  <c r="G12" i="184" s="1"/>
  <c r="H68" i="184"/>
  <c r="G13" i="184" s="1"/>
  <c r="H13" i="184" s="1"/>
  <c r="I68" i="184"/>
  <c r="G14" i="184" s="1"/>
  <c r="J68" i="184"/>
  <c r="G15" i="184" s="1"/>
  <c r="K68" i="184"/>
  <c r="G16" i="184" s="1"/>
  <c r="H16" i="184" s="1"/>
  <c r="L68" i="184"/>
  <c r="G17" i="184" s="1"/>
  <c r="M68" i="184"/>
  <c r="L19" i="184" l="1"/>
  <c r="E68" i="184"/>
  <c r="N57" i="184"/>
  <c r="N68" i="184" s="1"/>
  <c r="H15" i="184"/>
  <c r="E19" i="184"/>
  <c r="H17" i="184"/>
  <c r="H14" i="184"/>
  <c r="H12" i="184"/>
  <c r="G19" i="184"/>
  <c r="C50" i="29"/>
  <c r="D50" i="29"/>
  <c r="C49" i="29"/>
  <c r="D49" i="29"/>
  <c r="E49" i="29"/>
  <c r="D51" i="29"/>
  <c r="H19" i="184" l="1"/>
  <c r="L20" i="184" s="1"/>
  <c r="F301" i="29"/>
  <c r="C9" i="4"/>
  <c r="F65" i="5" l="1"/>
  <c r="E301" i="29"/>
  <c r="D215" i="29"/>
  <c r="D268" i="29"/>
  <c r="D267" i="29"/>
  <c r="D266" i="29"/>
  <c r="D264" i="29"/>
  <c r="D259" i="29"/>
  <c r="D246" i="29"/>
  <c r="D245" i="29"/>
  <c r="D241" i="29"/>
  <c r="D234" i="29"/>
  <c r="D226" i="29"/>
  <c r="D225" i="29"/>
  <c r="D223" i="29"/>
  <c r="D222" i="29"/>
  <c r="D219" i="29"/>
  <c r="D217" i="29"/>
  <c r="D216" i="29"/>
  <c r="E182" i="29"/>
  <c r="D182" i="29"/>
  <c r="G182" i="29"/>
  <c r="F182" i="29"/>
  <c r="C182" i="29"/>
  <c r="G124" i="29"/>
  <c r="F124" i="29"/>
  <c r="E124" i="29"/>
  <c r="D124" i="29"/>
  <c r="C124" i="29"/>
  <c r="F5" i="29"/>
  <c r="F63" i="29"/>
  <c r="E5" i="29"/>
  <c r="C5" i="29"/>
  <c r="C8" i="29"/>
  <c r="G75" i="29"/>
  <c r="F75" i="29"/>
  <c r="E75" i="29"/>
  <c r="D75" i="29"/>
  <c r="C75" i="29"/>
  <c r="E61" i="29"/>
  <c r="D63" i="29"/>
  <c r="D60" i="29"/>
  <c r="H55" i="29"/>
  <c r="F55" i="29"/>
  <c r="D55" i="29"/>
  <c r="C55" i="29"/>
  <c r="F45" i="29" l="1"/>
  <c r="E45" i="29"/>
  <c r="D45" i="29"/>
  <c r="C45" i="29"/>
  <c r="H45" i="29"/>
  <c r="E44" i="29"/>
  <c r="C44" i="29"/>
  <c r="D38" i="29"/>
  <c r="C38" i="29"/>
  <c r="D37" i="29"/>
  <c r="D17" i="29"/>
  <c r="E14" i="29"/>
  <c r="C14" i="29"/>
  <c r="E16" i="29"/>
  <c r="D14" i="29"/>
  <c r="F14" i="29"/>
  <c r="F13" i="29" l="1"/>
  <c r="D13" i="29"/>
  <c r="C13" i="29"/>
  <c r="G13" i="29"/>
  <c r="E13" i="29"/>
  <c r="G10" i="29"/>
  <c r="F10" i="29"/>
  <c r="E10" i="29"/>
  <c r="D10" i="29"/>
  <c r="C10" i="29"/>
  <c r="F8" i="29"/>
  <c r="D8" i="29"/>
  <c r="E8" i="29"/>
  <c r="D7" i="29"/>
  <c r="C7" i="29"/>
  <c r="D5" i="29"/>
  <c r="C159" i="5"/>
  <c r="C107" i="5"/>
  <c r="C95" i="5"/>
  <c r="C79" i="5"/>
  <c r="C77" i="5"/>
  <c r="J31" i="8"/>
  <c r="M19" i="3"/>
  <c r="E10" i="108"/>
  <c r="J15" i="12" l="1"/>
  <c r="K4" i="3"/>
  <c r="C4" i="3"/>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F141" i="183" s="1"/>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F36" i="34" l="1"/>
  <c r="B7828" i="106" s="1"/>
  <c r="D7828" i="106" s="1"/>
  <c r="G35" i="108"/>
  <c r="F77" i="4"/>
  <c r="B3255" i="106" s="1"/>
  <c r="D3255" i="106" s="1"/>
  <c r="F70" i="34"/>
  <c r="F52" i="34"/>
  <c r="B7831" i="106" s="1"/>
  <c r="D7831" i="106" s="1"/>
  <c r="G39" i="108"/>
  <c r="B7047" i="106"/>
  <c r="D7047" i="106" s="1"/>
  <c r="C352" i="29"/>
  <c r="H76" i="4"/>
  <c r="B3298" i="106" s="1"/>
  <c r="D3298" i="106" s="1"/>
  <c r="B1274" i="106"/>
  <c r="D1274" i="106" s="1"/>
  <c r="F37" i="34"/>
  <c r="B7829" i="106" s="1"/>
  <c r="D7829" i="106" s="1"/>
  <c r="C129" i="29"/>
  <c r="C151" i="29" s="1"/>
  <c r="B1226" i="106" s="1"/>
  <c r="D1226" i="106" s="1"/>
  <c r="H33" i="118"/>
  <c r="F71"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3447" i="106"/>
  <c r="D3447" i="106" s="1"/>
  <c r="L114" i="29" l="1"/>
  <c r="K342" i="29"/>
  <c r="F13" i="34" s="1"/>
  <c r="F41" i="108"/>
  <c r="G43" i="108" s="1"/>
  <c r="B5527" i="106"/>
  <c r="D5527" i="106" s="1"/>
  <c r="L16" i="11"/>
  <c r="B2061" i="106" s="1"/>
  <c r="D2061" i="106" s="1"/>
  <c r="B6216" i="106"/>
  <c r="D6216" i="106" s="1"/>
  <c r="B7235" i="106"/>
  <c r="D7235" i="106" s="1"/>
  <c r="E367" i="29"/>
  <c r="B3636" i="106" s="1"/>
  <c r="D3636" i="106" s="1"/>
  <c r="B3635" i="106"/>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J78" i="4" s="1"/>
  <c r="B6223" i="106"/>
  <c r="D6223" i="106" s="1"/>
  <c r="B6227" i="106"/>
  <c r="D6227" i="106" s="1"/>
  <c r="F8" i="4"/>
  <c r="B2595" i="106" s="1"/>
  <c r="D2595" i="106" s="1"/>
  <c r="J19" i="4"/>
  <c r="B6229" i="106" s="1"/>
  <c r="D6229"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<sst xmlns="http://schemas.openxmlformats.org/spreadsheetml/2006/main" count="5159" uniqueCount="2096">
  <si>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</si>
  <si>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</si>
  <si>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</si>
  <si>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</si>
  <si>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</si>
  <si>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</si>
  <si>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</si>
  <si>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</si>
  <si>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</si>
  <si>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</si>
  <si>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</si>
  <si>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</si>
  <si>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</si>
  <si>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</si>
  <si>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</si>
  <si>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</si>
  <si>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</si>
  <si>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</si>
  <si>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</si>
  <si>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</si>
  <si>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</si>
  <si>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</si>
  <si>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</si>
  <si>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</si>
  <si>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</si>
  <si>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</si>
  <si>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</si>
  <si>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</si>
  <si>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</si>
  <si>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</si>
  <si>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</si>
  <si>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</si>
  <si>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</si>
  <si>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</si>
  <si>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</si>
  <si>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</si>
  <si>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</si>
  <si>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</si>
  <si>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</si>
  <si>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</si>
  <si>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</si>
  <si>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</si>
  <si>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</si>
  <si>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</si>
  <si>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</si>
  <si>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</si>
  <si>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</si>
  <si>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</si>
  <si>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</si>
  <si>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</si>
  <si>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</si>
  <si>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</si>
  <si>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</si>
  <si>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</si>
  <si>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</si>
  <si>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</si>
  <si>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</si>
  <si>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</si>
  <si>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</si>
  <si>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</si>
  <si>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</si>
  <si>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</si>
  <si>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</si>
  <si>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</si>
  <si>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</si>
  <si>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</si>
  <si>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</si>
  <si>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</si>
  <si>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</si>
  <si>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</si>
  <si>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</si>
  <si>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</si>
  <si>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</si>
  <si>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</si>
  <si>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</si>
  <si>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</si>
  <si>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</si>
  <si>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</si>
  <si>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</si>
  <si>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</si>
  <si>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</si>
  <si>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</si>
  <si>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</si>
  <si>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</si>
  <si>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</si>
  <si>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</si>
  <si>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</si>
  <si>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</si>
  <si>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</si>
  <si>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</si>
  <si>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</si>
  <si>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</si>
  <si>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</si>
  <si>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</si>
  <si>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</si>
  <si>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</si>
  <si>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</si>
  <si>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</si>
  <si>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</si>
  <si>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</si>
  <si>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</si>
  <si>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</si>
  <si>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</si>
  <si>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</si>
  <si>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</si>
  <si>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</si>
  <si>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</si>
  <si>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</si>
  <si>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</si>
  <si>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</si>
  <si>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</si>
  <si>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</si>
  <si>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</si>
  <si>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</si>
  <si>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</si>
  <si>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</si>
  <si>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</si>
  <si>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</si>
  <si>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</si>
  <si>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</si>
  <si>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</si>
  <si>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</si>
  <si>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</si>
  <si>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</si>
  <si>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</si>
  <si>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</si>
  <si>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</si>
  <si>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</si>
  <si>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</si>
  <si>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</si>
  <si>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</si>
  <si>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</si>
  <si>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</si>
  <si>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</si>
  <si>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</si>
  <si>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</si>
  <si>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</si>
  <si>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</si>
  <si>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</si>
  <si>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</si>
  <si>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</si>
  <si>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</si>
  <si>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</si>
  <si>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</si>
  <si>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</si>
  <si>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</si>
  <si>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</si>
  <si>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</si>
  <si>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</si>
  <si>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</si>
  <si>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</si>
  <si>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</si>
  <si>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</si>
  <si>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</si>
  <si>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</si>
  <si>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</si>
  <si>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</si>
  <si>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</si>
  <si>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</si>
  <si>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</si>
  <si>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</si>
  <si>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</si>
  <si>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</si>
  <si>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</si>
  <si>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</si>
  <si>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</si>
  <si>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</si>
  <si>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</si>
  <si>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</si>
  <si>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</si>
  <si>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</si>
  <si>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</si>
  <si>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</si>
  <si>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</si>
  <si>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</si>
  <si>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</si>
  <si>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</si>
  <si>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</si>
  <si>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</si>
  <si>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</si>
  <si>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</si>
  <si>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</si>
  <si>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</si>
  <si>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</si>
  <si>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</si>
  <si>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</si>
  <si>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</si>
  <si>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</si>
  <si>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</si>
  <si>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</si>
  <si>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</si>
  <si>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</si>
  <si>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</si>
  <si>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</si>
  <si>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</si>
  <si>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</si>
  <si>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</si>
  <si>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</si>
  <si>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</si>
  <si>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</si>
  <si>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</si>
  <si>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</si>
  <si>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</si>
  <si>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</si>
  <si>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</si>
  <si>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</si>
  <si>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</si>
  <si>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</si>
  <si>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</si>
  <si>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</si>
  <si>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</si>
  <si>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</si>
  <si>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</si>
  <si>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</si>
  <si>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</si>
  <si>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</si>
  <si>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</si>
  <si>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</si>
  <si>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</si>
  <si>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</si>
  <si>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</si>
  <si>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</si>
  <si>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</si>
  <si>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</si>
  <si>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</si>
  <si>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</si>
  <si>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</si>
  <si>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</si>
  <si>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</si>
  <si>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</si>
  <si>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</si>
  <si>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</si>
  <si>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</si>
  <si>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</si>
  <si>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</si>
  <si>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</si>
  <si>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</si>
  <si>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</si>
  <si>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</si>
  <si>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</si>
  <si>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</si>
  <si>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</si>
  <si>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</si>
  <si>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</si>
  <si>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</si>
  <si>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</si>
  <si>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</si>
  <si>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</si>
  <si>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</si>
  <si>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</si>
  <si>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</si>
  <si>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</si>
  <si>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</si>
  <si>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</si>
  <si>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</si>
  <si>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</si>
  <si>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</si>
  <si>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</si>
  <si>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</si>
  <si>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</si>
  <si>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</si>
  <si>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</si>
  <si>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</si>
  <si>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</si>
  <si>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</si>
  <si>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</si>
  <si>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</si>
  <si>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</si>
  <si>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</si>
  <si>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</si>
  <si>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</si>
  <si>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</si>
  <si>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</si>
  <si>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</si>
  <si>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</si>
  <si>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</si>
  <si>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</si>
  <si>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</si>
  <si>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</si>
  <si>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</si>
  <si>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</si>
  <si>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</si>
  <si>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</si>
  <si>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</si>
  <si>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</si>
  <si>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</si>
  <si>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</si>
  <si>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</si>
  <si>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</si>
  <si>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</si>
  <si>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</si>
  <si>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</si>
  <si>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</si>
  <si>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</si>
  <si>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</si>
  <si>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</si>
  <si>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</si>
  <si>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</si>
  <si>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</si>
  <si>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</si>
  <si>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</si>
  <si>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</si>
  <si>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</si>
  <si>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</si>
  <si>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</si>
  <si>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</si>
  <si>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</si>
  <si>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</si>
  <si>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</si>
  <si>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</si>
  <si>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</si>
  <si>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</si>
  <si>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</si>
  <si>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</si>
  <si>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</si>
  <si>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</si>
  <si>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</si>
  <si>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</si>
  <si>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</si>
  <si>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</si>
  <si>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</si>
  <si>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</si>
  <si>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</si>
  <si>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</si>
  <si>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</si>
  <si>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</si>
  <si>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</si>
  <si>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</si>
  <si>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</si>
  <si>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</si>
  <si>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</si>
  <si>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</si>
  <si>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</si>
  <si>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</si>
  <si>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</si>
  <si>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</si>
  <si>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</si>
  <si>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</si>
  <si>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</si>
  <si>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</si>
  <si>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</si>
  <si>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</si>
  <si>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</si>
  <si>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</si>
  <si>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</si>
  <si>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</si>
  <si>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</si>
  <si>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</si>
  <si>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</si>
  <si>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</si>
  <si>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</si>
  <si>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</si>
  <si>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</si>
  <si>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</si>
  <si>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</si>
  <si>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</si>
  <si>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</si>
  <si>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</si>
  <si>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</si>
  <si>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</si>
  <si>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</si>
  <si>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</si>
  <si>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</si>
  <si>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</si>
  <si>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</si>
  <si>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</si>
  <si>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</si>
  <si>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</si>
  <si>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</si>
  <si>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</si>
  <si>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</si>
  <si>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</si>
  <si>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</si>
  <si>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</si>
  <si>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</si>
  <si>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</si>
  <si>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</si>
  <si>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</si>
  <si>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</si>
  <si>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</si>
  <si>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</si>
  <si>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</si>
  <si>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</si>
  <si>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</si>
  <si>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</si>
  <si>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</si>
  <si>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</si>
  <si>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</si>
  <si>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</si>
  <si>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</si>
  <si>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</si>
  <si>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</si>
  <si>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</si>
  <si>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</si>
  <si>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</si>
  <si>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</si>
  <si>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</si>
  <si>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</si>
  <si>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</si>
  <si>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</si>
  <si>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</si>
  <si>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</si>
  <si>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</si>
  <si>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</si>
  <si>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</si>
  <si>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</si>
  <si>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</si>
  <si>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</si>
  <si>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</si>
  <si>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</si>
  <si>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</si>
  <si>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</si>
  <si>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</si>
  <si>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</si>
  <si>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</si>
  <si>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</si>
  <si>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</si>
  <si>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</si>
  <si>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</si>
  <si>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</si>
  <si>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</si>
  <si>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</si>
  <si>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</si>
  <si>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</si>
  <si>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</si>
  <si>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</si>
  <si>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</si>
  <si>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</si>
  <si>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</si>
  <si>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</si>
  <si>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</si>
  <si>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</si>
  <si>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</si>
  <si>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</si>
  <si>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</si>
  <si>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</si>
  <si>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</si>
  <si>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</si>
  <si>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</si>
  <si>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</si>
  <si>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</si>
  <si>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</si>
  <si>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</si>
  <si>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</si>
  <si>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</si>
  <si>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</si>
  <si>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</si>
  <si>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</si>
  <si>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</si>
  <si>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</si>
  <si>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</si>
  <si>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</si>
  <si>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</si>
  <si>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</si>
  <si>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</si>
  <si>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</si>
  <si>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</si>
  <si>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</si>
  <si>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</si>
  <si>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</si>
  <si>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</si>
  <si>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</si>
  <si>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</si>
  <si>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</si>
  <si>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</si>
  <si>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</si>
  <si>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</si>
  <si>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</si>
  <si>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</si>
  <si>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</si>
  <si>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</si>
  <si>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</si>
  <si>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</si>
  <si>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</si>
  <si>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</si>
  <si>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</si>
  <si>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</si>
  <si>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</si>
  <si>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</si>
  <si>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</si>
  <si>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</si>
  <si>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</si>
  <si>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</si>
  <si>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</si>
  <si>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</si>
  <si>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</si>
  <si>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</si>
  <si>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</si>
  <si>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</si>
  <si>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</si>
  <si>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</si>
  <si>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</si>
  <si>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</si>
  <si>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</si>
  <si>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</si>
  <si>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</si>
  <si>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</si>
  <si>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</si>
  <si>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</si>
  <si>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</si>
  <si>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</si>
  <si>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</si>
  <si>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</si>
  <si>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</si>
  <si>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</si>
  <si>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</si>
  <si>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</si>
  <si>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</si>
  <si>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</si>
  <si>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</si>
  <si>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</si>
  <si>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</si>
  <si>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</si>
  <si>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</si>
  <si>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</si>
  <si>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</si>
  <si>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</si>
  <si>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</si>
  <si>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</si>
  <si>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</si>
  <si>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</si>
  <si>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</si>
  <si>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</si>
  <si>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</si>
  <si>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</si>
  <si>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</si>
  <si>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</si>
  <si>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</si>
  <si>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</si>
  <si>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</si>
  <si>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</si>
  <si>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</si>
  <si>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</si>
  <si>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</si>
  <si>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</si>
  <si>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</si>
  <si>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</si>
  <si>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</si>
  <si>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</si>
  <si>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</si>
  <si>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</si>
  <si>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</si>
  <si>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</si>
  <si>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</si>
  <si>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</si>
  <si>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</si>
  <si>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</si>
  <si>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</si>
  <si>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</si>
  <si>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</si>
  <si>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</si>
  <si>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</si>
  <si>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</si>
  <si>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</si>
  <si>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</si>
  <si>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</si>
  <si>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</si>
  <si>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</si>
  <si>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</si>
  <si>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</si>
  <si>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</si>
  <si>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</si>
  <si>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</si>
  <si>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</si>
  <si>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</si>
  <si>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</si>
  <si>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</si>
  <si>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</si>
  <si>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</si>
  <si>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</si>
  <si>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</si>
  <si>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</si>
  <si>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</si>
  <si>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</si>
  <si>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</si>
  <si>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</si>
  <si>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</si>
  <si>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</si>
  <si>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</si>
  <si>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</si>
  <si>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</si>
  <si>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</si>
  <si>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</si>
  <si>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</si>
  <si>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</si>
  <si>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</si>
  <si>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</si>
  <si>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</si>
  <si>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</si>
  <si>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</si>
  <si>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</si>
  <si>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</si>
  <si>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</si>
  <si>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</si>
  <si>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</si>
  <si>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</si>
  <si>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</si>
  <si>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</si>
  <si>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</si>
  <si>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</si>
  <si>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</si>
  <si>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</si>
  <si>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</si>
  <si>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</si>
  <si>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</si>
  <si>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</si>
  <si>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</si>
  <si>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</si>
  <si>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</si>
  <si>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</si>
  <si>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</si>
  <si>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</si>
  <si>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</si>
  <si>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</si>
  <si>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</si>
  <si>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</si>
  <si>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</si>
  <si>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</si>
  <si>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</si>
  <si>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</si>
  <si>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</si>
  <si>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</si>
  <si>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</si>
  <si>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</si>
  <si>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</si>
  <si>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</si>
  <si>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</si>
  <si>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</si>
  <si>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</si>
  <si>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</si>
  <si>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</si>
  <si>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</si>
  <si>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</si>
  <si>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</si>
  <si>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</si>
  <si>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</si>
  <si>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</si>
  <si>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</si>
  <si>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</si>
  <si>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</si>
  <si>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</si>
  <si>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</si>
  <si>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</si>
  <si>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</si>
  <si>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</si>
  <si>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</si>
  <si>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</si>
  <si>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</si>
  <si>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</si>
  <si>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</si>
  <si>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</si>
  <si>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</si>
  <si>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</si>
  <si>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</si>
  <si>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</si>
  <si>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</si>
  <si>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</si>
  <si>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</si>
  <si>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</si>
  <si>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</si>
  <si>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</si>
  <si>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</si>
  <si>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</si>
  <si>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</si>
  <si>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</si>
  <si>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</si>
  <si>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</si>
  <si>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</si>
  <si>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</si>
  <si>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</si>
  <si>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</si>
  <si>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</si>
  <si>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</si>
  <si>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</si>
  <si>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</si>
  <si>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</si>
  <si>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</si>
  <si>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</si>
  <si>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</si>
  <si>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</si>
  <si>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</si>
  <si>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</si>
  <si>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</si>
  <si>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</si>
  <si>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</si>
  <si>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</si>
  <si>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</si>
  <si>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</si>
  <si>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</si>
  <si>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</si>
  <si>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</si>
  <si>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</si>
  <si>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</si>
  <si>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</si>
  <si>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</si>
  <si>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</si>
  <si>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</si>
  <si>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</si>
  <si>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</si>
  <si>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</si>
  <si>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</si>
  <si>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</si>
  <si>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</si>
  <si>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</si>
  <si>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</si>
  <si>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</si>
  <si>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</si>
  <si>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</si>
  <si>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</si>
  <si>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</si>
  <si>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</si>
  <si>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</si>
  <si>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</si>
  <si>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</si>
  <si>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</si>
  <si>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</si>
  <si>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</si>
  <si>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</si>
  <si>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</si>
  <si>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</si>
  <si>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</si>
  <si>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</si>
  <si>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</si>
  <si>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</si>
  <si>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</si>
  <si>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</si>
  <si>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</si>
  <si>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</si>
  <si>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</si>
  <si>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</si>
  <si>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</si>
  <si>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</si>
  <si>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</si>
  <si>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</si>
  <si>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</si>
  <si>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</si>
  <si>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</si>
  <si>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</si>
  <si>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</si>
  <si>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</si>
  <si>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</si>
  <si>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</si>
  <si>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</si>
  <si>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</si>
  <si>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</si>
  <si>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</si>
  <si>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</si>
  <si>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</si>
  <si>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</si>
  <si>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</si>
  <si>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</si>
  <si>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</si>
  <si>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</si>
  <si>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</si>
  <si>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</si>
  <si>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</si>
  <si>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</si>
  <si>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</si>
  <si>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</si>
  <si>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</si>
  <si>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</si>
  <si>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</si>
  <si>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</si>
  <si>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</si>
  <si>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</si>
  <si>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</si>
  <si>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</si>
  <si>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</si>
  <si>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</si>
  <si>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</si>
  <si>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</si>
  <si>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</si>
  <si>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</si>
  <si>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</si>
  <si>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</si>
  <si>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</si>
  <si>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</si>
  <si>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</si>
  <si>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</si>
  <si>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</si>
  <si>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</si>
  <si>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</si>
  <si>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</si>
  <si>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</si>
  <si>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</si>
  <si>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</si>
  <si>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</si>
  <si>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</si>
  <si>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</si>
  <si>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</si>
  <si>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</si>
  <si>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</si>
  <si>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</si>
  <si>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</si>
  <si>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</si>
  <si>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</si>
  <si>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</si>
  <si>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</si>
  <si>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</si>
  <si>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</si>
  <si>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</si>
  <si>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</si>
  <si>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</si>
  <si>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</si>
  <si>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</si>
  <si>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</si>
  <si>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</si>
  <si>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</si>
  <si>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</si>
  <si>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</si>
  <si>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</si>
  <si>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</si>
  <si>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</si>
  <si>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</si>
  <si>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</si>
  <si>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</si>
  <si>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</si>
  <si>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</si>
  <si>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</si>
  <si>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</si>
  <si>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</si>
  <si>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</si>
  <si>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</si>
  <si>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</si>
  <si>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</si>
  <si>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</si>
  <si>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</si>
  <si>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</si>
  <si>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</si>
  <si>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</si>
  <si>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</si>
  <si>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</si>
  <si>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</si>
  <si>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</si>
  <si>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</si>
  <si>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</si>
  <si>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</si>
  <si>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</si>
  <si>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</si>
  <si>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</si>
  <si>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</si>
  <si>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</si>
  <si>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</si>
  <si>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</si>
  <si>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</si>
  <si>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</si>
  <si>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</si>
  <si>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</si>
  <si>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</si>
  <si>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</si>
  <si>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</si>
  <si>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</si>
  <si>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</si>
  <si>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</si>
  <si>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</si>
  <si>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</si>
  <si>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</si>
  <si>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</si>
  <si>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</si>
  <si>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</si>
  <si>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</si>
  <si>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</si>
  <si>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</si>
  <si>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</si>
  <si>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</si>
  <si>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</si>
  <si>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</si>
  <si>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</si>
  <si>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</si>
  <si>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</si>
  <si>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</si>
  <si>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</si>
  <si>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</si>
  <si>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</si>
  <si>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</si>
  <si>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</si>
  <si>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</si>
  <si>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</si>
  <si>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</si>
  <si>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</si>
  <si>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</si>
  <si>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</si>
  <si>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</si>
  <si>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</si>
  <si>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</si>
  <si>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</si>
  <si>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</si>
  <si>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</si>
  <si>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</si>
  <si>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</si>
  <si>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</si>
  <si>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</si>
  <si>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</si>
  <si>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</si>
  <si>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</si>
  <si>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</si>
  <si>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</si>
  <si>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</si>
  <si>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</si>
  <si>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</si>
  <si>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</si>
  <si>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</si>
  <si>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</si>
  <si>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</si>
  <si>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</si>
  <si>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</si>
  <si>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</si>
  <si>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</si>
  <si>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</si>
  <si>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</si>
  <si>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</si>
  <si>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</si>
  <si>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</si>
  <si>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</si>
  <si>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</si>
  <si>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</si>
  <si>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</si>
  <si>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</si>
  <si>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</si>
  <si>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</si>
  <si>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</si>
  <si>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</si>
  <si>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</si>
  <si>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</si>
  <si>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</si>
  <si>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</si>
  <si>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</si>
  <si>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</si>
  <si>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</si>
  <si>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</si>
  <si>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</si>
  <si>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</si>
  <si>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</si>
  <si>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</si>
  <si>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</si>
  <si>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</si>
  <si>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</si>
  <si>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</si>
  <si>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</si>
  <si>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</si>
  <si>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</si>
  <si>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</si>
  <si>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</si>
  <si>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</si>
  <si>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</si>
  <si>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</si>
  <si>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</si>
  <si>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</si>
  <si>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</si>
  <si>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</si>
  <si>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</si>
  <si>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</si>
  <si>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</si>
  <si>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</si>
  <si>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</si>
  <si>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</si>
  <si>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</si>
  <si>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</si>
  <si>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</si>
  <si>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</si>
  <si>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</si>
  <si>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</si>
  <si>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</si>
  <si>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</si>
  <si>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</si>
  <si>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</si>
  <si>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</si>
  <si>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</si>
  <si>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</si>
  <si>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</si>
  <si>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</si>
  <si>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</si>
  <si>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</si>
  <si>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</si>
  <si>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</si>
  <si>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</si>
  <si>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</si>
  <si>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</si>
  <si>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</si>
  <si>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</si>
  <si>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</si>
  <si>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</si>
  <si>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</si>
  <si>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</si>
  <si>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</si>
  <si>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</si>
  <si>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</si>
  <si>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</si>
  <si>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</si>
  <si>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</si>
  <si>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</si>
  <si>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</si>
  <si>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</si>
  <si>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</si>
  <si>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</si>
  <si>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</si>
  <si>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</si>
  <si>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</si>
  <si>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</si>
  <si>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</si>
  <si>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</si>
  <si>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</si>
  <si>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</si>
  <si>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</si>
  <si>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</si>
  <si>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</si>
  <si>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</si>
  <si>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</si>
  <si>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</si>
  <si>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</si>
  <si>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</si>
  <si>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</si>
  <si>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</si>
  <si>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</si>
  <si>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</si>
  <si>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</si>
  <si>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</si>
  <si>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</si>
  <si>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</si>
  <si>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</si>
  <si>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</si>
  <si>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</si>
  <si>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</si>
  <si>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</si>
  <si>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</si>
  <si>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</si>
  <si>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</si>
  <si>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</si>
  <si>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</si>
  <si>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</si>
  <si>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</si>
  <si>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</si>
  <si>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</si>
  <si>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</si>
  <si>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</si>
  <si>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</si>
  <si>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</si>
  <si>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</si>
  <si>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</si>
  <si>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</si>
  <si>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</si>
  <si>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</si>
  <si>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</si>
  <si>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</si>
  <si>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</si>
  <si>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</si>
  <si>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</si>
  <si>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</si>
  <si>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</si>
  <si>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</si>
  <si>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</si>
  <si>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</si>
  <si>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</si>
  <si>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</si>
  <si>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</si>
  <si>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</si>
  <si>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</si>
  <si>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</si>
  <si>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</si>
  <si>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</si>
  <si>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</si>
  <si>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</si>
  <si>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</si>
  <si>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</si>
  <si>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</si>
  <si>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</si>
  <si>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</si>
  <si>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</si>
  <si>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</si>
  <si>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</si>
  <si>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</si>
  <si>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</si>
  <si>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</si>
  <si>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</si>
  <si>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</si>
  <si>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</si>
  <si>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</si>
  <si>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</si>
  <si>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</si>
  <si>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</si>
  <si>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</si>
  <si>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</si>
  <si>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</si>
  <si>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</si>
  <si>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</si>
  <si>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</si>
  <si>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</si>
  <si>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</si>
  <si>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</si>
  <si>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</si>
  <si>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</si>
  <si>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</si>
  <si>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</si>
  <si>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</si>
  <si>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</si>
  <si>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</si>
  <si>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</si>
  <si>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</si>
  <si>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</si>
  <si>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</si>
  <si>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</si>
  <si>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</si>
  <si>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</si>
  <si>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</si>
  <si>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</si>
  <si>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</si>
  <si>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</si>
  <si>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</si>
  <si>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</si>
  <si>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</si>
  <si>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</si>
  <si>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</si>
  <si>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</si>
  <si>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</si>
  <si>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</si>
  <si>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</si>
  <si>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</si>
  <si>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</si>
  <si>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</si>
  <si>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</si>
  <si>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</si>
  <si>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</si>
  <si>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</si>
  <si>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</si>
  <si>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</si>
  <si>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</si>
  <si>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</si>
  <si>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</si>
  <si>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</si>
  <si>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</si>
  <si>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</si>
  <si>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</si>
  <si>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</si>
  <si>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</si>
  <si>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</si>
  <si>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</si>
  <si>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</si>
  <si>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</si>
  <si>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</si>
  <si>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</si>
  <si>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</si>
  <si>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</si>
  <si>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</si>
  <si>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</si>
  <si>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</si>
  <si>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</si>
  <si>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</si>
  <si>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</si>
  <si>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</si>
  <si>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</si>
  <si>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</si>
  <si>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</si>
  <si>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</si>
  <si>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</si>
  <si>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</si>
  <si>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</si>
  <si>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</si>
  <si>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</si>
  <si>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</si>
  <si>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</si>
  <si>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</si>
  <si>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</si>
  <si>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</si>
  <si>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</si>
  <si>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</si>
  <si>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</si>
  <si>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</si>
  <si>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</si>
  <si>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</si>
  <si>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</si>
  <si>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</si>
  <si>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</si>
  <si>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</si>
  <si>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</si>
  <si>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</si>
  <si>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</si>
  <si>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</si>
  <si>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</si>
  <si>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</si>
  <si>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</si>
  <si>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</si>
  <si>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</si>
  <si>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</si>
  <si>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</si>
  <si>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</si>
  <si>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</si>
  <si>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</si>
  <si>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</si>
  <si>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</si>
  <si>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</si>
  <si>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</si>
  <si>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</si>
  <si>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</si>
  <si>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</si>
  <si>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</si>
  <si>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</si>
  <si>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</si>
  <si>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</si>
  <si>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</si>
  <si>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</si>
  <si>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</si>
  <si>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</si>
  <si>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</si>
  <si>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</si>
  <si>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</si>
  <si>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</si>
  <si>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</si>
  <si>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</si>
  <si>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</si>
  <si>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</si>
  <si>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</si>
  <si>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</si>
  <si>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</si>
  <si>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</si>
  <si>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</si>
  <si>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</si>
  <si>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</si>
  <si>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</si>
  <si>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</si>
  <si>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</si>
  <si>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</si>
  <si>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</si>
  <si>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</si>
  <si>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</si>
  <si>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</si>
  <si>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</si>
  <si>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</si>
  <si>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</si>
  <si>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</si>
  <si>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</si>
  <si>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</si>
  <si>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</si>
  <si>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</si>
  <si>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</si>
  <si>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</si>
  <si>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</si>
  <si>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</si>
  <si>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</si>
  <si>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</si>
  <si>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</si>
  <si>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</si>
  <si>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</si>
  <si>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</si>
  <si>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</si>
  <si>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</si>
  <si>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</si>
  <si>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</si>
  <si>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</si>
  <si>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</si>
  <si>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</si>
  <si>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</si>
  <si>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</si>
  <si>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</si>
  <si>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</si>
  <si>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</si>
  <si>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</si>
  <si>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</si>
  <si>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</si>
  <si>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</si>
  <si>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</si>
  <si>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</si>
  <si>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</si>
  <si>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</si>
  <si>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</si>
  <si>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</si>
  <si>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</si>
  <si>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</si>
  <si>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</si>
  <si>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</si>
  <si>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</si>
  <si>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</si>
  <si>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</si>
  <si>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</si>
  <si>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</si>
  <si>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</si>
  <si>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</si>
  <si>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</si>
  <si>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</si>
  <si>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</si>
  <si>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</si>
  <si>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</si>
  <si>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</si>
  <si>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</si>
  <si>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</si>
  <si>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</si>
  <si>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</si>
  <si>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</si>
  <si>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</si>
  <si>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</si>
  <si>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</si>
  <si>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</si>
  <si>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</si>
  <si>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</si>
  <si>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</si>
  <si>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</si>
  <si>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</si>
  <si>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</si>
  <si>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</si>
  <si>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</si>
  <si>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</si>
  <si>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</si>
  <si>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</si>
  <si>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</si>
  <si>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</si>
  <si>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</si>
  <si>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</si>
  <si>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</si>
  <si>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</si>
  <si>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</si>
  <si>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</si>
  <si>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</si>
  <si>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</si>
  <si>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</si>
  <si>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</si>
  <si>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</si>
  <si>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</si>
  <si>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</si>
  <si>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</si>
  <si>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</si>
  <si>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</si>
  <si>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</si>
  <si>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</si>
  <si>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</si>
  <si>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</si>
  <si>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</si>
  <si>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</si>
  <si>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</si>
  <si>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</si>
  <si>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</si>
  <si>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</si>
  <si>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</si>
  <si>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</si>
  <si>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</si>
  <si>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</si>
  <si>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</si>
  <si>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</si>
  <si>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</si>
  <si>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</si>
  <si>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</si>
  <si>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</si>
  <si>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</si>
  <si>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</si>
  <si>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</si>
  <si>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</si>
  <si>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</si>
  <si>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</si>
  <si>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</si>
  <si>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</si>
  <si>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</si>
  <si>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</si>
  <si>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</si>
  <si>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</si>
  <si>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</si>
  <si>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</si>
  <si>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</si>
  <si>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</si>
  <si>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</si>
  <si>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</si>
  <si>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</si>
  <si>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</si>
  <si>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</si>
  <si>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</si>
  <si>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</si>
  <si>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</si>
  <si>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</si>
  <si>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</si>
  <si>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</si>
  <si>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</si>
  <si>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</si>
  <si>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</si>
  <si>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</si>
  <si>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</si>
  <si>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</si>
  <si>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</si>
  <si>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</si>
  <si>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</si>
  <si>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</si>
  <si>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</si>
  <si>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</si>
  <si>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</si>
  <si>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</si>
  <si>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</si>
  <si>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</si>
  <si>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</si>
  <si>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</si>
  <si>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</si>
  <si>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</si>
  <si>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</si>
  <si>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</si>
  <si>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</si>
  <si>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</si>
  <si>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</si>
  <si>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</si>
  <si>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</si>
  <si>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</si>
  <si>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</si>
  <si>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</si>
  <si>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</si>
  <si>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</si>
  <si>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</si>
  <si>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</si>
  <si>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</si>
  <si>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</si>
  <si>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</si>
  <si>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</si>
  <si>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</si>
  <si>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</si>
  <si>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</si>
  <si>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</si>
  <si>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</si>
  <si>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</si>
  <si>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</si>
  <si>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</si>
  <si>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</si>
  <si>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</si>
  <si>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</si>
  <si>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</si>
  <si>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</si>
  <si>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</si>
  <si>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</si>
  <si>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</si>
  <si>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</si>
  <si>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</si>
  <si>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</si>
  <si>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</si>
  <si>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</si>
  <si>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</si>
  <si>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</si>
  <si>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</si>
  <si>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</si>
  <si>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</si>
  <si>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</si>
  <si>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</si>
  <si>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</si>
  <si>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</si>
  <si>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</si>
  <si>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</si>
  <si>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</si>
  <si>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</si>
  <si>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</si>
  <si>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</si>
  <si>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</si>
  <si>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</si>
  <si>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</si>
  <si>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</si>
  <si>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</si>
  <si>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</si>
  <si>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</si>
  <si>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</si>
  <si>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</si>
  <si>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</si>
  <si>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</si>
  <si>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</si>
  <si>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</si>
  <si>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</si>
  <si>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</si>
  <si>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</si>
  <si>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</si>
  <si>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</si>
  <si>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</si>
  <si>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</si>
  <si>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</si>
  <si>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</si>
  <si>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</si>
  <si>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</si>
  <si>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</si>
  <si>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</si>
  <si>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</si>
  <si>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</si>
  <si>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</si>
  <si>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</si>
  <si>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</si>
  <si>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</si>
  <si>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</si>
  <si>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</si>
  <si>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</si>
  <si>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</si>
  <si>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</si>
  <si>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</si>
  <si>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</si>
  <si>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</si>
  <si>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</si>
  <si>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</si>
  <si>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</si>
  <si>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</si>
  <si>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</si>
  <si>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</si>
  <si>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</si>
  <si>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</si>
  <si>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</si>
  <si>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</si>
  <si>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</si>
  <si>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</si>
  <si>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</si>
  <si>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</si>
  <si>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</si>
  <si>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</si>
  <si>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</si>
  <si>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</si>
  <si>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</si>
  <si>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</si>
  <si>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</si>
  <si>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</si>
  <si>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</si>
  <si>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</si>
  <si>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</si>
  <si>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</si>
  <si>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</si>
  <si>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</si>
  <si>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</si>
  <si>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</si>
  <si>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</si>
  <si>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</si>
  <si>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</si>
  <si>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</si>
  <si>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</si>
  <si>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</si>
  <si>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</si>
  <si>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</si>
  <si>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</si>
  <si>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</si>
  <si>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</si>
  <si>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</si>
  <si>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</si>
  <si>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</si>
  <si>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</si>
  <si>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</si>
  <si>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</si>
  <si>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</si>
  <si>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</si>
  <si>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</si>
  <si>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</si>
  <si>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</si>
  <si>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</si>
  <si>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</si>
  <si>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</si>
  <si>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</si>
  <si>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</si>
  <si>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</si>
  <si>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</si>
  <si>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</si>
  <si>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</si>
  <si>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</si>
  <si>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</si>
  <si>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</si>
  <si>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</si>
  <si>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</si>
  <si>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</si>
  <si>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</si>
  <si>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</si>
  <si>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</si>
  <si>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</si>
  <si>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</si>
  <si>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</si>
  <si>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</si>
  <si>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</si>
  <si>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</si>
  <si>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</si>
  <si>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</si>
  <si>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</si>
  <si>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</si>
  <si>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</si>
  <si>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</si>
  <si>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</si>
  <si>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</si>
  <si>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</si>
  <si>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</si>
  <si>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</si>
  <si>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</si>
  <si>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</si>
  <si>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</si>
  <si>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</si>
  <si>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</si>
  <si>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</si>
  <si>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</si>
  <si>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</si>
  <si>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</si>
  <si>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</si>
  <si>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</si>
  <si>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</si>
  <si>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</si>
  <si>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</si>
  <si>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</si>
  <si>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</si>
  <si>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</si>
  <si>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</si>
  <si>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</si>
  <si>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</si>
  <si>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</si>
  <si>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</si>
  <si>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</si>
  <si>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</si>
  <si>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</si>
  <si>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</si>
  <si>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</si>
  <si>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</si>
  <si>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</si>
  <si>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</si>
  <si>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</si>
  <si>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</si>
  <si>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</si>
  <si>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</si>
  <si>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</si>
  <si>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</si>
  <si>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</si>
  <si>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</si>
  <si>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</si>
  <si>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</si>
  <si>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</si>
  <si>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</si>
  <si>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</si>
  <si>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</si>
  <si>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</si>
  <si>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</si>
  <si>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</si>
  <si>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</si>
  <si>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</si>
  <si>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</si>
  <si>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</si>
  <si>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</si>
  <si>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</si>
  <si>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</si>
  <si>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</si>
  <si>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</si>
  <si>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</si>
  <si>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</si>
  <si>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</si>
  <si>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</si>
  <si>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</si>
  <si>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</si>
  <si>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</si>
  <si>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</si>
  <si>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</si>
  <si>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</si>
  <si>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</si>
  <si>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</si>
  <si>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</si>
  <si>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</si>
  <si>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</si>
  <si>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</si>
  <si>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</si>
  <si>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</si>
  <si>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</si>
  <si>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</si>
  <si>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</si>
  <si>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</si>
  <si>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</si>
  <si>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</si>
  <si>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</si>
  <si>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</si>
  <si>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</si>
  <si>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</si>
  <si>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</si>
  <si>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</si>
  <si>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</si>
  <si>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</si>
  <si>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</si>
  <si>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</si>
  <si>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</si>
  <si>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</si>
  <si>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</si>
  <si>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</si>
  <si>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</si>
  <si>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</si>
  <si>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</si>
  <si>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</si>
  <si>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</si>
  <si>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</si>
  <si>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</si>
  <si>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</si>
  <si>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</si>
  <si>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</si>
  <si>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</si>
  <si>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</si>
  <si>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</si>
  <si>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</si>
  <si>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</si>
  <si>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</si>
  <si>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</si>
  <si>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</si>
  <si>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</si>
  <si>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</si>
  <si>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</si>
  <si>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</si>
  <si>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</si>
  <si>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</si>
  <si>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</si>
  <si>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</si>
  <si>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</si>
  <si>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</si>
  <si>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</si>
  <si>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</si>
  <si>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</si>
  <si>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</si>
  <si>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</si>
  <si>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</si>
  <si>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</si>
  <si>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</si>
  <si>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</si>
  <si>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</si>
  <si>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</si>
  <si>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</si>
  <si>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</si>
  <si>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</si>
  <si>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</si>
  <si>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</si>
  <si>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</si>
  <si>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</si>
  <si>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</si>
  <si>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</si>
  <si>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</si>
  <si>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</si>
  <si>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</si>
  <si>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</si>
  <si>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</si>
  <si>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</si>
  <si>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</si>
  <si>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</si>
  <si>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</si>
  <si>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</si>
  <si>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</si>
  <si>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</si>
  <si>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</si>
  <si>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</si>
  <si>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</si>
  <si>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</si>
  <si>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</si>
  <si>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</si>
  <si>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</si>
  <si>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</si>
  <si>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</si>
  <si>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</si>
  <si>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</si>
  <si>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</si>
  <si>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</si>
  <si>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</si>
  <si>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</si>
  <si>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</si>
  <si>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</si>
  <si>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</si>
  <si>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</si>
  <si>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</si>
  <si>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</si>
  <si>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</si>
  <si>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</si>
  <si>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</si>
  <si>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</si>
  <si>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</si>
  <si>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</si>
  <si>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</si>
  <si>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</si>
  <si>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</si>
  <si>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</si>
  <si>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</si>
  <si>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</si>
  <si>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</si>
  <si>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</si>
  <si>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</si>
  <si>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</si>
  <si>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</si>
  <si>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</si>
  <si>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</si>
  <si>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</si>
  <si>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</si>
  <si>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</si>
  <si>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</si>
  <si>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</si>
  <si>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</si>
  <si>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</si>
  <si>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</si>
  <si>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</si>
  <si>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</si>
  <si>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</si>
  <si>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</si>
  <si>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</si>
  <si>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</si>
  <si>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</si>
  <si>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</si>
  <si>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</si>
  <si>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</si>
  <si>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</si>
  <si>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</si>
  <si>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</si>
  <si>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</si>
  <si>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</si>
  <si>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</si>
  <si>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</si>
  <si>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</si>
  <si>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</si>
  <si>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</si>
  <si>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</si>
  <si>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</si>
  <si>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</si>
  <si>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</si>
  <si>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</si>
  <si>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</si>
  <si>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</si>
  <si>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</si>
  <si>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</si>
  <si>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</si>
  <si>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</si>
  <si>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</si>
  <si>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</si>
  <si>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</si>
  <si>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</si>
  <si>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</si>
  <si>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</si>
  <si>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</si>
  <si>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</si>
  <si>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</si>
  <si>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</si>
  <si>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</si>
  <si>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</si>
  <si>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</si>
  <si>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</si>
  <si>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</si>
  <si>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</si>
  <si>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</si>
  <si>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</si>
  <si>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</si>
  <si>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</si>
  <si>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</si>
  <si>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</si>
  <si>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</si>
  <si>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</si>
  <si>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</si>
  <si>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</si>
  <si>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</si>
  <si>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</si>
  <si>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</si>
  <si>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</si>
  <si>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</si>
  <si>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</si>
  <si>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</si>
  <si>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</si>
  <si>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</si>
  <si>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</si>
  <si>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</si>
  <si>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</si>
  <si>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</si>
  <si>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</si>
  <si>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</si>
  <si>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</si>
  <si>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</si>
  <si>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</si>
  <si>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</si>
  <si>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</si>
  <si>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</si>
  <si>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</si>
  <si>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</si>
  <si>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</si>
  <si>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</si>
  <si>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</si>
  <si>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</si>
  <si>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</si>
  <si>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</si>
  <si>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</si>
  <si>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</si>
  <si>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</si>
  <si>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</si>
  <si>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</si>
  <si>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</si>
  <si>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</si>
  <si>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</si>
  <si>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</si>
  <si>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</si>
  <si>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</si>
  <si>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</si>
  <si>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</si>
  <si>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</si>
  <si>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</si>
  <si>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</si>
  <si>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</si>
  <si>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</si>
  <si>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</si>
  <si>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</si>
  <si>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</si>
  <si>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</si>
  <si>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</si>
  <si>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</si>
  <si>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</si>
  <si>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</si>
  <si>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</si>
  <si>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</si>
  <si>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</si>
  <si>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</si>
  <si>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</si>
  <si>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</si>
  <si>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</si>
  <si>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</si>
  <si>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</si>
  <si>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</si>
  <si>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</si>
  <si>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</si>
  <si>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</si>
  <si>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</si>
  <si>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</si>
  <si>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</si>
  <si>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</si>
  <si>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</si>
  <si>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</si>
  <si>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</si>
  <si>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</si>
  <si>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</si>
  <si>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</si>
  <si>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</si>
  <si>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</si>
  <si>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</si>
  <si>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</si>
  <si>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</si>
  <si>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</si>
  <si>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</si>
  <si>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</si>
  <si>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</si>
  <si>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</si>
  <si>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</si>
  <si>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</si>
  <si>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</si>
  <si>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</si>
  <si>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</si>
  <si>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</si>
  <si>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</si>
  <si>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</si>
  <si>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</si>
  <si>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</si>
  <si>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</si>
  <si>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</si>
  <si>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</si>
  <si>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</si>
  <si>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</si>
  <si>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</si>
  <si>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</si>
  <si>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</si>
  <si>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</si>
  <si>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</si>
  <si>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</si>
  <si>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</si>
  <si>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</si>
  <si>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</si>
  <si>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</si>
  <si>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</si>
  <si>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</si>
  <si>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</si>
  <si>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</si>
  <si>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</si>
  <si>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</si>
  <si>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</si>
  <si>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</si>
  <si>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</si>
  <si>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</si>
  <si>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</si>
  <si>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</si>
  <si>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</si>
  <si>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</si>
  <si>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</si>
  <si>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</si>
  <si>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</si>
  <si>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</si>
  <si>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</si>
  <si>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</si>
  <si>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</si>
  <si>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</si>
  <si>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</si>
  <si>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</si>
  <si>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</si>
  <si>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</si>
  <si>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</si>
  <si>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</si>
  <si>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</si>
  <si>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</si>
  <si>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</si>
  <si>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</si>
  <si>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</si>
  <si>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</si>
  <si>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</si>
  <si>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</si>
  <si>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</si>
  <si>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</si>
  <si>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</si>
  <si>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</si>
  <si>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</si>
  <si>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</si>
  <si>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</si>
  <si>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</si>
  <si>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</si>
  <si>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</si>
  <si>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</si>
  <si>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</si>
  <si>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</si>
  <si>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</si>
  <si>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</si>
  <si>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</si>
  <si>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</si>
  <si>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</si>
  <si>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</si>
  <si>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</si>
  <si>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</si>
  <si>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</si>
  <si>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</si>
  <si>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</si>
  <si>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</si>
  <si>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</si>
  <si>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</si>
  <si>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</si>
  <si>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</si>
  <si>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</si>
  <si>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</si>
  <si>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</si>
  <si>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</si>
  <si>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</si>
  <si>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</si>
  <si>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</si>
  <si>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</si>
  <si>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</si>
  <si>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</si>
  <si>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</si>
  <si>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</si>
  <si>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</si>
  <si>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</si>
  <si>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</si>
  <si>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</si>
  <si>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</si>
  <si>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MACOUPIN</t>
  </si>
  <si>
    <t>LOY MILLER TALLEY, PC</t>
  </si>
  <si>
    <t>KENNETH E. LOY, CPA</t>
  </si>
  <si>
    <t>30953 ROUTE 111</t>
  </si>
  <si>
    <t>PALMYRA</t>
  </si>
  <si>
    <t>kbowman@northwestern.k12.il.us</t>
  </si>
  <si>
    <t>2 CROSSROADS COURT</t>
  </si>
  <si>
    <t>ALTON</t>
  </si>
  <si>
    <t>IL</t>
  </si>
  <si>
    <t>618-465-1196</t>
  </si>
  <si>
    <t>618-465-2900</t>
  </si>
  <si>
    <t>066-004886</t>
  </si>
  <si>
    <t>ken@lmtcpas.com</t>
  </si>
  <si>
    <t>KEVIN BOWMAN</t>
  </si>
  <si>
    <t>217-436-2210</t>
  </si>
  <si>
    <t>217-436-2701</t>
  </si>
  <si>
    <t>MICHELLE MUELLER</t>
  </si>
  <si>
    <t>mmueller@ ROE.k12.il.us</t>
  </si>
  <si>
    <t>217-854-4016</t>
  </si>
  <si>
    <t>217-84-2032</t>
  </si>
  <si>
    <t>NO CONTRACTS</t>
  </si>
  <si>
    <t>2014 SERIES LIFE SAFETY BONDS</t>
  </si>
  <si>
    <t>BUS LEASE</t>
  </si>
  <si>
    <t>Other Revenue from Local Sources, Acct #1999</t>
  </si>
  <si>
    <t>$21,600  E-Rate, Education Fund</t>
  </si>
  <si>
    <t>$  2,333  Miscellaneous Income, Education Fund</t>
  </si>
  <si>
    <t>$  1,546  Refunds/Rebates, Education Fund</t>
  </si>
  <si>
    <t>$50,000  Maintenanc Grant, Operations &amp; Maintenance Fund</t>
  </si>
  <si>
    <t>$  2,287  Lightning Insurance, Operations &amp; Maintenance Fund</t>
  </si>
  <si>
    <t>$        46  Scrap Sales, Operations &amp; Maintenance Fund</t>
  </si>
  <si>
    <t>$     127  Reimbursements/Refunds, Operations &amp; Maintenance Fund</t>
  </si>
  <si>
    <t>$     226  Miscellaneous Income, Transportation Fund</t>
  </si>
  <si>
    <t>Audit check Error</t>
  </si>
  <si>
    <t>Line 8, Long-term debt principal payments per Long-Term Debt Schedule (p.24) includes payments  of $36,888</t>
  </si>
  <si>
    <t xml:space="preserve">     for bus capital lease paid from the Transportation Fund.</t>
  </si>
  <si>
    <t>Line 13, The district does not have contract to report.</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</si>
  <si>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</si>
  <si>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</si>
  <si>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</si>
  <si>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</si>
  <si>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</si>
  <si>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</si>
  <si>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</si>
  <si>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</si>
  <si>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</si>
  <si>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</si>
  <si>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</si>
  <si>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</si>
  <si>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</si>
  <si>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</si>
  <si>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</si>
  <si>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</si>
  <si>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</si>
  <si>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</si>
  <si>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</si>
  <si>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</si>
  <si>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</si>
  <si>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</si>
  <si>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</si>
  <si>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</si>
  <si>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</si>
  <si>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</si>
  <si>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</si>
  <si>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</si>
  <si>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</si>
  <si>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</si>
  <si>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</si>
  <si>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</si>
  <si>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</si>
  <si>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</si>
  <si>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</si>
  <si>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</si>
  <si>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</si>
  <si>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Northwestern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</si>
</sst>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2" fillId="0" borderId="0"/>
  </cellStyleXfs>
  <cellXfs count="261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38" fontId="3" fillId="0" borderId="155" xfId="19" applyNumberFormat="1" applyFont="1" applyBorder="1" applyAlignment="1" applyProtection="1">
      <alignment horizontal="right" vertical="top"/>
      <protection locked="0"/>
    </xf>
    <xf numFmtId="6" fontId="58" fillId="0" borderId="0" xfId="0" applyNumberFormat="1" applyFont="1"/>
    <xf numFmtId="0" fontId="58" fillId="0" borderId="0" xfId="3" applyFont="1" applyAlignment="1">
      <alignment horizontal="center" vertical="center"/>
    </xf>
    <xf numFmtId="0" fontId="2" fillId="0" borderId="0" xfId="20"/>
    <xf numFmtId="0" fontId="101" fillId="0" borderId="164" xfId="20" applyFont="1" applyBorder="1"/>
    <xf numFmtId="0" fontId="101" fillId="0" borderId="165" xfId="20" applyFont="1" applyBorder="1"/>
    <xf numFmtId="0" fontId="101" fillId="0" borderId="166" xfId="20" applyFont="1" applyBorder="1"/>
    <xf numFmtId="0" fontId="101" fillId="0" borderId="0" xfId="20" applyFont="1"/>
    <xf numFmtId="0" fontId="101" fillId="0" borderId="168" xfId="20" applyFont="1" applyBorder="1"/>
    <xf numFmtId="0" fontId="100" fillId="0" borderId="168" xfId="20" applyFont="1" applyBorder="1"/>
    <xf numFmtId="0" fontId="101" fillId="0" borderId="167" xfId="20" applyFont="1" applyBorder="1"/>
    <xf numFmtId="0" fontId="143" fillId="0" borderId="0" xfId="20" applyFont="1"/>
    <xf numFmtId="38" fontId="66" fillId="16" borderId="169"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0" fontId="58" fillId="26" borderId="77" xfId="20" applyFont="1" applyFill="1" applyBorder="1"/>
    <xf numFmtId="38" fontId="66" fillId="16" borderId="171" xfId="20" applyNumberFormat="1" applyFont="1" applyFill="1" applyBorder="1" applyAlignment="1">
      <alignment horizontal="center" wrapText="1"/>
    </xf>
    <xf numFmtId="38" fontId="58" fillId="0" borderId="172"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26" borderId="0" xfId="20" applyNumberFormat="1" applyFont="1" applyFill="1" applyAlignment="1">
      <alignment horizontal="center"/>
    </xf>
    <xf numFmtId="38" fontId="66" fillId="27" borderId="174" xfId="20" applyNumberFormat="1" applyFont="1" applyFill="1" applyBorder="1" applyAlignment="1" applyProtection="1">
      <alignment horizontal="center"/>
      <protection locked="0"/>
    </xf>
    <xf numFmtId="0" fontId="58" fillId="0" borderId="172" xfId="20" applyFont="1" applyBorder="1" applyAlignment="1">
      <alignment horizontal="center"/>
    </xf>
    <xf numFmtId="38" fontId="58" fillId="0" borderId="176"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66" fillId="27" borderId="178" xfId="20" applyNumberFormat="1" applyFont="1" applyFill="1" applyBorder="1" applyAlignment="1" applyProtection="1">
      <alignment horizontal="center"/>
      <protection locked="0"/>
    </xf>
    <xf numFmtId="0" fontId="58" fillId="0" borderId="176" xfId="20" applyFont="1" applyBorder="1" applyAlignment="1">
      <alignment horizontal="center"/>
    </xf>
    <xf numFmtId="38" fontId="58" fillId="0" borderId="180"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27" borderId="182" xfId="20" applyNumberFormat="1" applyFont="1" applyFill="1" applyBorder="1" applyAlignment="1" applyProtection="1">
      <alignment horizontal="center"/>
      <protection locked="0"/>
    </xf>
    <xf numFmtId="0" fontId="58" fillId="0" borderId="180" xfId="20" applyFont="1" applyBorder="1" applyAlignment="1">
      <alignment horizontal="center"/>
    </xf>
    <xf numFmtId="0" fontId="102" fillId="0" borderId="169" xfId="20" applyFont="1" applyBorder="1" applyAlignment="1">
      <alignment horizontal="center" wrapText="1"/>
    </xf>
    <xf numFmtId="0" fontId="102" fillId="0" borderId="77" xfId="20" applyFont="1" applyBorder="1" applyAlignment="1">
      <alignment horizontal="center" wrapText="1"/>
    </xf>
    <xf numFmtId="0" fontId="58" fillId="26" borderId="77" xfId="20" applyFont="1" applyFill="1" applyBorder="1" applyAlignment="1">
      <alignment horizontal="center"/>
    </xf>
    <xf numFmtId="0" fontId="58" fillId="0" borderId="167" xfId="20" applyFont="1" applyBorder="1"/>
    <xf numFmtId="0" fontId="58" fillId="0" borderId="0" xfId="20" applyFont="1"/>
    <xf numFmtId="0" fontId="58" fillId="0" borderId="168" xfId="20" applyFont="1" applyBorder="1"/>
    <xf numFmtId="0" fontId="58" fillId="0" borderId="0" xfId="3" applyFont="1" applyAlignment="1">
      <alignment horizontal="right" vertical="center" indent="1"/>
    </xf>
    <xf numFmtId="0" fontId="144" fillId="0" borderId="168" xfId="20" applyFont="1" applyBorder="1"/>
    <xf numFmtId="0" fontId="100" fillId="0" borderId="167" xfId="20" applyFont="1" applyBorder="1" applyAlignment="1">
      <alignment wrapText="1"/>
    </xf>
    <xf numFmtId="0" fontId="100" fillId="0" borderId="0" xfId="20" applyFont="1" applyAlignment="1">
      <alignment wrapText="1"/>
    </xf>
    <xf numFmtId="0" fontId="89" fillId="0" borderId="0" xfId="20" applyFont="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64" xfId="3" applyFont="1" applyBorder="1" applyAlignment="1">
      <alignment vertical="center"/>
    </xf>
    <xf numFmtId="0" fontId="58" fillId="0" borderId="165" xfId="3" applyFont="1" applyBorder="1" applyAlignment="1">
      <alignment vertical="center"/>
    </xf>
    <xf numFmtId="0" fontId="58" fillId="0" borderId="166" xfId="3" applyFont="1" applyBorder="1" applyAlignment="1">
      <alignment vertical="center"/>
    </xf>
    <xf numFmtId="0" fontId="58" fillId="0" borderId="167" xfId="3" applyFont="1" applyBorder="1" applyAlignment="1">
      <alignment vertical="center"/>
    </xf>
    <xf numFmtId="0" fontId="58" fillId="0" borderId="168"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68"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68" xfId="3" applyFont="1" applyBorder="1" applyAlignment="1" applyProtection="1">
      <alignment vertical="center"/>
      <protection hidden="1"/>
    </xf>
    <xf numFmtId="0" fontId="66" fillId="0" borderId="168"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68"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19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19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20"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19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19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194" xfId="3" applyFont="1" applyFill="1" applyBorder="1" applyAlignment="1">
      <alignment horizontal="left"/>
    </xf>
    <xf numFmtId="0" fontId="66" fillId="0" borderId="0" xfId="3" applyFont="1" applyAlignment="1">
      <alignment horizontal="left" vertical="center"/>
    </xf>
    <xf numFmtId="0" fontId="58" fillId="0" borderId="185" xfId="3" applyFont="1" applyBorder="1" applyAlignment="1">
      <alignment vertical="center"/>
    </xf>
    <xf numFmtId="0" fontId="58" fillId="0" borderId="186" xfId="3" applyFont="1" applyBorder="1" applyAlignment="1">
      <alignment vertical="center"/>
    </xf>
    <xf numFmtId="0" fontId="66" fillId="0" borderId="186" xfId="3" applyFont="1" applyBorder="1" applyAlignment="1">
      <alignment horizontal="left" vertical="center"/>
    </xf>
    <xf numFmtId="0" fontId="66" fillId="0" borderId="186" xfId="3" applyFont="1" applyBorder="1" applyAlignment="1">
      <alignment horizontal="center" vertical="center"/>
    </xf>
    <xf numFmtId="0" fontId="58" fillId="0" borderId="195" xfId="3" applyFont="1" applyBorder="1" applyAlignment="1">
      <alignment vertic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0" borderId="0" xfId="20" applyFont="1" applyAlignment="1">
      <alignment horizontal="center" vertical="top" wrapText="1"/>
    </xf>
    <xf numFmtId="0" fontId="102" fillId="0" borderId="167" xfId="20" applyFont="1" applyBorder="1" applyAlignment="1">
      <alignment horizontal="center" vertical="top" wrapText="1"/>
    </xf>
    <xf numFmtId="0" fontId="142" fillId="0" borderId="165" xfId="20" applyFont="1" applyBorder="1" applyAlignment="1">
      <alignment horizontal="left" vertical="center" wrapText="1"/>
    </xf>
    <xf numFmtId="0" fontId="58" fillId="0" borderId="179" xfId="20" applyFont="1" applyBorder="1"/>
    <xf numFmtId="0" fontId="58" fillId="0" borderId="176" xfId="20" applyFont="1" applyBorder="1"/>
    <xf numFmtId="0" fontId="58" fillId="0" borderId="175" xfId="20" applyFont="1" applyBorder="1"/>
    <xf numFmtId="0" fontId="58" fillId="0" borderId="172" xfId="20" applyFont="1" applyBorder="1"/>
    <xf numFmtId="0" fontId="66" fillId="0" borderId="170" xfId="20" applyFont="1" applyBorder="1"/>
    <xf numFmtId="0" fontId="66" fillId="0" borderId="77" xfId="20" applyFont="1" applyBorder="1"/>
    <xf numFmtId="0" fontId="142" fillId="0" borderId="0" xfId="20" applyFont="1" applyAlignment="1">
      <alignment horizontal="left" vertical="center" wrapText="1"/>
    </xf>
    <xf numFmtId="0" fontId="142" fillId="0" borderId="167" xfId="20" applyFont="1" applyBorder="1" applyAlignment="1">
      <alignment horizontal="left" vertical="center" wrapText="1"/>
    </xf>
    <xf numFmtId="0" fontId="58" fillId="0" borderId="179" xfId="20" applyFont="1" applyBorder="1" applyAlignment="1">
      <alignment wrapText="1"/>
    </xf>
    <xf numFmtId="0" fontId="58" fillId="0" borderId="176" xfId="20" applyFont="1" applyBorder="1" applyAlignment="1">
      <alignment wrapText="1"/>
    </xf>
    <xf numFmtId="0" fontId="102" fillId="0" borderId="184"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0" xfId="20" applyFont="1" applyBorder="1"/>
    <xf numFmtId="0" fontId="58" fillId="0" borderId="168" xfId="20" applyFont="1" applyBorder="1" applyAlignment="1">
      <alignment wrapText="1"/>
    </xf>
    <xf numFmtId="0" fontId="58" fillId="0" borderId="0" xfId="20" applyFont="1" applyAlignment="1">
      <alignment wrapText="1"/>
    </xf>
    <xf numFmtId="0" fontId="58" fillId="0" borderId="167" xfId="20" applyFont="1" applyBorder="1" applyAlignment="1">
      <alignment wrapText="1"/>
    </xf>
    <xf numFmtId="0" fontId="58" fillId="0" borderId="126" xfId="3" applyFont="1" applyBorder="1" applyAlignment="1">
      <alignment horizontal="left" vertical="center" indent="1"/>
    </xf>
    <xf numFmtId="0" fontId="58" fillId="0" borderId="188" xfId="3"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7" xfId="3" applyNumberFormat="1" applyFont="1" applyBorder="1" applyAlignment="1">
      <alignment horizontal="left" vertical="center" indent="1"/>
    </xf>
    <xf numFmtId="0" fontId="58" fillId="26" borderId="170" xfId="20" applyFont="1" applyFill="1" applyBorder="1"/>
    <xf numFmtId="0" fontId="58" fillId="26" borderId="77" xfId="20" applyFont="1" applyFill="1" applyBorder="1"/>
    <xf numFmtId="0" fontId="66" fillId="0" borderId="186" xfId="20" applyFont="1" applyBorder="1" applyAlignment="1">
      <alignment horizontal="center" wrapText="1"/>
    </xf>
    <xf numFmtId="0" fontId="66" fillId="0" borderId="185" xfId="20" applyFont="1" applyBorder="1" applyAlignment="1">
      <alignment horizontal="center" wrapText="1"/>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91" xfId="20" applyFont="1" applyBorder="1" applyAlignment="1">
      <alignment horizontal="center"/>
    </xf>
    <xf numFmtId="0" fontId="145" fillId="0" borderId="190" xfId="20" applyFont="1" applyBorder="1" applyAlignment="1">
      <alignment horizontal="center"/>
    </xf>
    <xf numFmtId="0" fontId="145" fillId="0" borderId="189" xfId="20" applyFont="1" applyBorder="1" applyAlignment="1">
      <alignment horizontal="center"/>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66" fillId="27" borderId="78" xfId="3"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protection locked="0"/>
    </xf>
    <xf numFmtId="0" fontId="58" fillId="22" borderId="168"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9523BE55-615E-4F66-BCD7-C36AB7A64ED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2">
        <f>+'AFR20'!E4</f>
        <v>44119</v>
      </c>
      <c r="C1" s="2032"/>
      <c r="D1" s="2033"/>
      <c r="I1" s="2111" t="s">
        <v>402</v>
      </c>
      <c r="J1" s="2112"/>
      <c r="K1" s="2112"/>
      <c r="L1" s="2112"/>
      <c r="M1" s="2112"/>
      <c r="N1" s="2112"/>
      <c r="O1" s="2112"/>
      <c r="P1" s="2112"/>
      <c r="Q1" s="2112"/>
      <c r="R1" s="2112"/>
      <c r="S1" s="2112"/>
    </row>
    <row r="2" spans="1:32" ht="12" customHeight="1" x14ac:dyDescent="0.2">
      <c r="A2" s="1824" t="str">
        <f>"Due to ISBE on "</f>
        <v xml:space="preserve">Due to ISBE on </v>
      </c>
      <c r="B2" s="2034">
        <f>+'AFR20'!F4</f>
        <v>44151</v>
      </c>
      <c r="C2" s="2034"/>
      <c r="D2" s="2035"/>
      <c r="I2" s="2113" t="s">
        <v>2006</v>
      </c>
      <c r="J2" s="2112"/>
      <c r="K2" s="2112"/>
      <c r="L2" s="2112"/>
      <c r="M2" s="2112"/>
      <c r="N2" s="2112"/>
      <c r="O2" s="2112"/>
      <c r="P2" s="2112"/>
      <c r="Q2" s="2112"/>
      <c r="R2" s="2112"/>
      <c r="S2" s="2112"/>
    </row>
    <row r="3" spans="1:32" ht="12" customHeight="1" x14ac:dyDescent="0.2">
      <c r="A3" s="1827" t="str">
        <f>"SD/JA"&amp;MID('AFR20'!E2,3,2)</f>
        <v>SD/JA20</v>
      </c>
      <c r="B3" s="151"/>
      <c r="C3" s="151"/>
      <c r="D3" s="152"/>
      <c r="I3" s="2113" t="s">
        <v>52</v>
      </c>
      <c r="J3" s="2112"/>
      <c r="K3" s="2112"/>
      <c r="L3" s="2112"/>
      <c r="M3" s="2112"/>
      <c r="N3" s="2112"/>
      <c r="O3" s="2112"/>
      <c r="P3" s="2112"/>
      <c r="Q3" s="2112"/>
      <c r="R3" s="2112"/>
      <c r="S3" s="2112"/>
    </row>
    <row r="4" spans="1:32" ht="12" customHeight="1" x14ac:dyDescent="0.2">
      <c r="A4" s="37"/>
      <c r="I4" s="2113" t="s">
        <v>521</v>
      </c>
      <c r="J4" s="2112"/>
      <c r="K4" s="2112"/>
      <c r="L4" s="2112"/>
      <c r="M4" s="2112"/>
      <c r="N4" s="2112"/>
      <c r="O4" s="2112"/>
      <c r="P4" s="2112"/>
      <c r="Q4" s="2112"/>
      <c r="R4" s="2112"/>
      <c r="S4" s="2112"/>
    </row>
    <row r="5" spans="1:32" ht="14.1" customHeight="1" x14ac:dyDescent="0.2">
      <c r="B5" s="101" t="s">
        <v>2021</v>
      </c>
      <c r="C5" s="26" t="s">
        <v>904</v>
      </c>
      <c r="D5" s="81"/>
      <c r="E5" s="81"/>
      <c r="H5" s="38"/>
      <c r="I5" s="2120" t="s">
        <v>675</v>
      </c>
      <c r="J5" s="2065"/>
      <c r="K5" s="2065"/>
      <c r="L5" s="2065"/>
      <c r="M5" s="2065"/>
      <c r="N5" s="2065"/>
      <c r="O5" s="2065"/>
      <c r="P5" s="2065"/>
      <c r="Q5" s="2065"/>
      <c r="R5" s="2065"/>
      <c r="S5" s="2065"/>
      <c r="AF5" s="1820"/>
    </row>
    <row r="6" spans="1:32" ht="14.1" customHeight="1" x14ac:dyDescent="0.2">
      <c r="B6" s="101"/>
      <c r="C6" s="26" t="s">
        <v>905</v>
      </c>
      <c r="D6" s="81"/>
      <c r="E6" s="81"/>
      <c r="I6" s="2119" t="s">
        <v>877</v>
      </c>
      <c r="J6" s="2065"/>
      <c r="K6" s="2065"/>
      <c r="L6" s="2065"/>
      <c r="M6" s="2065"/>
      <c r="N6" s="2065"/>
      <c r="O6" s="2065"/>
      <c r="P6" s="2065"/>
      <c r="Q6" s="2065"/>
      <c r="R6" s="2065"/>
      <c r="S6" s="2065"/>
    </row>
    <row r="7" spans="1:32" ht="12.2" customHeight="1" x14ac:dyDescent="0.2">
      <c r="I7" s="2114" t="str">
        <f>"June 30, "&amp;'AFR20'!E2</f>
        <v>June 30, 2020</v>
      </c>
      <c r="J7" s="2115"/>
      <c r="K7" s="2115"/>
      <c r="L7" s="2115"/>
      <c r="M7" s="2115"/>
      <c r="N7" s="2115"/>
      <c r="O7" s="2115"/>
      <c r="P7" s="2115"/>
      <c r="Q7" s="2115"/>
      <c r="R7" s="2115"/>
      <c r="S7" s="211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6" t="s">
        <v>669</v>
      </c>
      <c r="J9" s="2117"/>
      <c r="K9" s="2117"/>
      <c r="L9" s="2117"/>
      <c r="M9" s="2117"/>
      <c r="N9" s="2117"/>
      <c r="O9" s="2117"/>
      <c r="P9" s="2117"/>
      <c r="Q9" s="2117"/>
      <c r="R9" s="2117"/>
      <c r="S9" s="2118"/>
      <c r="T9" s="2061" t="s">
        <v>530</v>
      </c>
      <c r="U9" s="2062"/>
      <c r="V9" s="2062"/>
      <c r="W9" s="2062"/>
      <c r="X9" s="2062"/>
      <c r="Y9" s="2062"/>
      <c r="Z9" s="2062"/>
      <c r="AA9" s="2063"/>
    </row>
    <row r="10" spans="1:32" ht="13.5" customHeight="1" x14ac:dyDescent="0.2">
      <c r="A10" s="2070" t="s">
        <v>670</v>
      </c>
      <c r="B10" s="2071"/>
      <c r="C10" s="2071"/>
      <c r="D10" s="2071"/>
      <c r="E10" s="2071"/>
      <c r="F10" s="2071"/>
      <c r="G10" s="2071"/>
      <c r="H10" s="2072"/>
      <c r="I10" s="29"/>
      <c r="J10" s="30"/>
      <c r="K10" s="28"/>
      <c r="R10" s="30"/>
      <c r="S10" s="30"/>
      <c r="T10" s="2064"/>
      <c r="U10" s="2065"/>
      <c r="V10" s="2065"/>
      <c r="W10" s="2065"/>
      <c r="X10" s="2065"/>
      <c r="Y10" s="2065"/>
      <c r="Z10" s="2065"/>
      <c r="AA10" s="2066"/>
    </row>
    <row r="11" spans="1:32" ht="14.25" customHeight="1" x14ac:dyDescent="0.2">
      <c r="A11" s="2073" t="s">
        <v>949</v>
      </c>
      <c r="B11" s="2074"/>
      <c r="C11" s="2074"/>
      <c r="D11" s="2074"/>
      <c r="E11" s="2074"/>
      <c r="F11" s="2074"/>
      <c r="G11" s="2074"/>
      <c r="H11" s="2075"/>
      <c r="I11" s="27"/>
      <c r="J11" s="71"/>
      <c r="K11" s="27"/>
      <c r="O11" s="144" t="s">
        <v>2021</v>
      </c>
      <c r="P11" s="97" t="s">
        <v>199</v>
      </c>
      <c r="Q11" s="30"/>
      <c r="R11" s="28"/>
      <c r="S11" s="27"/>
      <c r="T11" s="2067"/>
      <c r="U11" s="2068"/>
      <c r="V11" s="2068"/>
      <c r="W11" s="2068"/>
      <c r="X11" s="2068"/>
      <c r="Y11" s="2068"/>
      <c r="Z11" s="2068"/>
      <c r="AA11" s="206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1">
        <v>40056002026</v>
      </c>
      <c r="B13" s="2082"/>
      <c r="C13" s="2082"/>
      <c r="D13" s="2082"/>
      <c r="E13" s="2082"/>
      <c r="F13" s="2082"/>
      <c r="G13" s="2082"/>
      <c r="H13" s="2083"/>
      <c r="I13" s="31"/>
      <c r="J13" s="30"/>
      <c r="K13" s="28"/>
      <c r="L13" s="30"/>
      <c r="M13" s="30"/>
      <c r="N13" s="30"/>
      <c r="O13" s="30"/>
      <c r="P13" s="30"/>
      <c r="Q13" s="30"/>
      <c r="R13" s="30"/>
      <c r="S13" s="30"/>
      <c r="T13" s="2086" t="s">
        <v>2023</v>
      </c>
      <c r="U13" s="2087"/>
      <c r="V13" s="2087"/>
      <c r="W13" s="2087"/>
      <c r="X13" s="2087"/>
      <c r="Y13" s="2088"/>
      <c r="Z13" s="2088"/>
      <c r="AA13" s="208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9" t="s">
        <v>2022</v>
      </c>
      <c r="B15" s="2084"/>
      <c r="C15" s="2084"/>
      <c r="D15" s="2084"/>
      <c r="E15" s="2084"/>
      <c r="F15" s="2084"/>
      <c r="G15" s="2084"/>
      <c r="H15" s="2085"/>
      <c r="T15" s="2047" t="s">
        <v>2024</v>
      </c>
      <c r="U15" s="2048"/>
      <c r="V15" s="2048"/>
      <c r="W15" s="2048"/>
      <c r="X15" s="2048"/>
      <c r="Y15" s="2090"/>
      <c r="Z15" s="2090"/>
      <c r="AA15" s="209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9" t="s">
        <v>2095</v>
      </c>
      <c r="B17" s="2109"/>
      <c r="C17" s="2109"/>
      <c r="D17" s="2109"/>
      <c r="E17" s="2109"/>
      <c r="F17" s="2109"/>
      <c r="G17" s="2109"/>
      <c r="H17" s="2110"/>
      <c r="T17" s="2096" t="s">
        <v>2028</v>
      </c>
      <c r="U17" s="2097"/>
      <c r="V17" s="2097"/>
      <c r="W17" s="2097"/>
      <c r="X17" s="2097"/>
      <c r="Y17" s="2097"/>
      <c r="Z17" s="2097"/>
      <c r="AA17" s="2098"/>
    </row>
    <row r="18" spans="1:27" ht="13.5" customHeight="1" x14ac:dyDescent="0.2">
      <c r="A18" s="82" t="s">
        <v>527</v>
      </c>
      <c r="B18" s="73"/>
      <c r="C18" s="69"/>
      <c r="D18" s="73"/>
      <c r="E18" s="73"/>
      <c r="F18" s="73"/>
      <c r="G18" s="73"/>
      <c r="H18" s="53"/>
      <c r="I18" s="2106" t="s">
        <v>671</v>
      </c>
      <c r="J18" s="2107"/>
      <c r="K18" s="2107"/>
      <c r="L18" s="2107"/>
      <c r="M18" s="2107"/>
      <c r="N18" s="2107"/>
      <c r="O18" s="2107"/>
      <c r="P18" s="2107"/>
      <c r="Q18" s="2107"/>
      <c r="R18" s="2107"/>
      <c r="S18" s="2108"/>
      <c r="T18" s="82" t="s">
        <v>706</v>
      </c>
      <c r="U18" s="48"/>
      <c r="V18" s="69"/>
      <c r="W18" s="47"/>
      <c r="X18" s="82" t="s">
        <v>264</v>
      </c>
      <c r="Y18" s="78"/>
      <c r="Z18" s="154" t="s">
        <v>672</v>
      </c>
      <c r="AA18" s="44"/>
    </row>
    <row r="19" spans="1:27" ht="13.5" customHeight="1" x14ac:dyDescent="0.2">
      <c r="A19" s="2079" t="s">
        <v>2025</v>
      </c>
      <c r="B19" s="2080"/>
      <c r="C19" s="2080"/>
      <c r="D19" s="2080"/>
      <c r="E19" s="2080"/>
      <c r="F19" s="2080"/>
      <c r="G19" s="2080"/>
      <c r="H19" s="2078"/>
      <c r="I19" s="30"/>
      <c r="J19" s="96"/>
      <c r="K19" s="40"/>
      <c r="L19" s="38"/>
      <c r="M19" s="109" t="s">
        <v>312</v>
      </c>
      <c r="P19" s="27"/>
      <c r="Q19" s="27"/>
      <c r="R19" s="27"/>
      <c r="S19" s="31"/>
      <c r="T19" s="2079" t="s">
        <v>2029</v>
      </c>
      <c r="U19" s="2077"/>
      <c r="V19" s="2077"/>
      <c r="W19" s="2078"/>
      <c r="X19" s="2094" t="s">
        <v>2030</v>
      </c>
      <c r="Y19" s="2095"/>
      <c r="Z19" s="2092">
        <v>62002</v>
      </c>
      <c r="AA19" s="209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6" t="s">
        <v>2026</v>
      </c>
      <c r="B21" s="2077"/>
      <c r="C21" s="2077"/>
      <c r="D21" s="2077"/>
      <c r="E21" s="2077"/>
      <c r="F21" s="2077"/>
      <c r="G21" s="2077"/>
      <c r="H21" s="2078"/>
      <c r="I21" s="2102" t="s">
        <v>673</v>
      </c>
      <c r="J21" s="2065"/>
      <c r="K21" s="2065"/>
      <c r="L21" s="2065"/>
      <c r="M21" s="2065"/>
      <c r="N21" s="2065"/>
      <c r="O21" s="2065"/>
      <c r="P21" s="2065"/>
      <c r="Q21" s="2065"/>
      <c r="R21" s="2065"/>
      <c r="S21" s="2066"/>
      <c r="T21" s="2044" t="s">
        <v>2031</v>
      </c>
      <c r="U21" s="2045"/>
      <c r="V21" s="2045"/>
      <c r="W21" s="2045"/>
      <c r="X21" s="2058" t="s">
        <v>2032</v>
      </c>
      <c r="Y21" s="2059"/>
      <c r="Z21" s="2059"/>
      <c r="AA21" s="2060"/>
    </row>
    <row r="22" spans="1:27" ht="13.5" customHeight="1" x14ac:dyDescent="0.2">
      <c r="A22" s="84" t="s">
        <v>528</v>
      </c>
      <c r="B22" s="56"/>
      <c r="C22" s="56"/>
      <c r="D22" s="56"/>
      <c r="E22" s="56"/>
      <c r="F22" s="56"/>
      <c r="G22" s="56"/>
      <c r="H22" s="57"/>
      <c r="I22" s="2103" t="s">
        <v>1415</v>
      </c>
      <c r="J22" s="2104"/>
      <c r="K22" s="2104"/>
      <c r="L22" s="2104"/>
      <c r="M22" s="2104"/>
      <c r="N22" s="2104"/>
      <c r="O22" s="2104"/>
      <c r="P22" s="2104"/>
      <c r="Q22" s="2104"/>
      <c r="R22" s="2104"/>
      <c r="S22" s="2105"/>
      <c r="T22" s="82" t="s">
        <v>1502</v>
      </c>
      <c r="U22" s="48"/>
      <c r="V22" s="69"/>
      <c r="W22" s="48"/>
      <c r="X22" s="155" t="s">
        <v>1309</v>
      </c>
      <c r="Z22" s="43"/>
      <c r="AA22" s="44"/>
    </row>
    <row r="23" spans="1:27" ht="13.5" customHeight="1" x14ac:dyDescent="0.2">
      <c r="A23" s="2099" t="s">
        <v>2027</v>
      </c>
      <c r="B23" s="2100"/>
      <c r="C23" s="2100"/>
      <c r="D23" s="2100"/>
      <c r="E23" s="2100"/>
      <c r="F23" s="2100"/>
      <c r="G23" s="2100"/>
      <c r="H23" s="2101"/>
      <c r="T23" s="2039" t="s">
        <v>2033</v>
      </c>
      <c r="U23" s="2040"/>
      <c r="V23" s="2040"/>
      <c r="W23" s="2040"/>
      <c r="X23" s="2055">
        <v>44530</v>
      </c>
      <c r="Y23" s="2056"/>
      <c r="Z23" s="2056"/>
      <c r="AA23" s="2057"/>
    </row>
    <row r="24" spans="1:27" ht="14.1" customHeight="1" x14ac:dyDescent="0.2">
      <c r="A24" s="85" t="s">
        <v>672</v>
      </c>
      <c r="B24" s="46"/>
      <c r="C24" s="46"/>
      <c r="D24" s="46"/>
      <c r="E24" s="46"/>
      <c r="F24" s="46"/>
      <c r="G24" s="46"/>
      <c r="H24" s="58"/>
      <c r="J24" s="2136">
        <f>IF(B5="x",IF(AUDITCHECK!D29="AFR form Incomplete.","",IF(AUDITCHECK!D29="Deficit reduction plan is required.","School District must complete a deficit reduction plan in the 2019-2020 Budget",)),"")</f>
        <v>0</v>
      </c>
      <c r="K24" s="2136"/>
      <c r="L24" s="2136"/>
      <c r="M24" s="2136"/>
      <c r="N24" s="2136"/>
      <c r="O24" s="2136"/>
      <c r="P24" s="2136"/>
      <c r="Q24" s="2136"/>
      <c r="R24" s="2136"/>
      <c r="S24" s="2137"/>
      <c r="T24" s="102" t="s">
        <v>528</v>
      </c>
      <c r="U24" s="103"/>
      <c r="V24" s="103"/>
      <c r="W24" s="103"/>
      <c r="X24" s="104"/>
      <c r="Y24" s="104"/>
      <c r="Z24" s="104"/>
      <c r="AA24" s="105"/>
    </row>
    <row r="25" spans="1:27" ht="14.1" customHeight="1" x14ac:dyDescent="0.2">
      <c r="A25" s="2076">
        <v>62674</v>
      </c>
      <c r="B25" s="2077"/>
      <c r="C25" s="2077"/>
      <c r="D25" s="2077"/>
      <c r="E25" s="2077"/>
      <c r="F25" s="2077"/>
      <c r="G25" s="2077"/>
      <c r="H25" s="2078"/>
      <c r="I25" s="110"/>
      <c r="J25" s="2138"/>
      <c r="K25" s="2138"/>
      <c r="L25" s="2138"/>
      <c r="M25" s="2138"/>
      <c r="N25" s="2138"/>
      <c r="O25" s="2138"/>
      <c r="P25" s="2138"/>
      <c r="Q25" s="2138"/>
      <c r="R25" s="2138"/>
      <c r="S25" s="2139"/>
      <c r="T25" s="2036" t="s">
        <v>2034</v>
      </c>
      <c r="U25" s="2037"/>
      <c r="V25" s="2037"/>
      <c r="W25" s="2037"/>
      <c r="X25" s="2037"/>
      <c r="Y25" s="2037"/>
      <c r="Z25" s="2037"/>
      <c r="AA25" s="203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4" t="s">
        <v>1497</v>
      </c>
      <c r="J27" s="2107"/>
      <c r="K27" s="2107"/>
      <c r="L27" s="2107"/>
      <c r="M27" s="2107"/>
      <c r="N27" s="2107"/>
      <c r="O27" s="2107"/>
      <c r="P27" s="2107"/>
      <c r="Q27" s="2107"/>
      <c r="R27" s="2107"/>
      <c r="S27" s="210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144" t="s">
        <v>2021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0"/>
      <c r="Q35" s="2077"/>
      <c r="R35" s="207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9" t="s">
        <v>2035</v>
      </c>
      <c r="B38" s="2109"/>
      <c r="C38" s="2109"/>
      <c r="D38" s="2109"/>
      <c r="E38" s="2109"/>
      <c r="F38" s="2077"/>
      <c r="G38" s="2077"/>
      <c r="H38" s="2078"/>
      <c r="I38" s="2128"/>
      <c r="J38" s="2048"/>
      <c r="K38" s="2048"/>
      <c r="L38" s="2048"/>
      <c r="M38" s="2048"/>
      <c r="N38" s="2048"/>
      <c r="O38" s="2048"/>
      <c r="P38" s="2049"/>
      <c r="Q38" s="2049"/>
      <c r="R38" s="2049"/>
      <c r="S38" s="2050"/>
      <c r="T38" s="2047" t="s">
        <v>2038</v>
      </c>
      <c r="U38" s="2048"/>
      <c r="V38" s="2048"/>
      <c r="W38" s="2048"/>
      <c r="X38" s="2049"/>
      <c r="Y38" s="2049"/>
      <c r="Z38" s="2049"/>
      <c r="AA38" s="2050"/>
    </row>
    <row r="39" spans="1:27" ht="12" customHeight="1" x14ac:dyDescent="0.2">
      <c r="A39" s="2132" t="s">
        <v>528</v>
      </c>
      <c r="B39" s="2133"/>
      <c r="C39" s="69"/>
      <c r="D39" s="66"/>
      <c r="E39" s="66"/>
      <c r="F39" s="76"/>
      <c r="G39" s="66"/>
      <c r="H39" s="53"/>
      <c r="I39" s="2132" t="s">
        <v>528</v>
      </c>
      <c r="J39" s="2133"/>
      <c r="K39" s="2133"/>
      <c r="L39" s="2133"/>
      <c r="M39" s="2133"/>
      <c r="N39" s="64"/>
      <c r="O39" s="69"/>
      <c r="P39" s="69"/>
      <c r="Q39" s="75"/>
      <c r="R39" s="69"/>
      <c r="S39" s="53"/>
      <c r="T39" s="69" t="s">
        <v>528</v>
      </c>
      <c r="U39" s="48"/>
      <c r="V39" s="69"/>
      <c r="W39" s="47"/>
      <c r="X39" s="75"/>
      <c r="Y39" s="43"/>
      <c r="Z39" s="43"/>
      <c r="AA39" s="44"/>
    </row>
    <row r="40" spans="1:27" ht="13.5" customHeight="1" x14ac:dyDescent="0.2">
      <c r="A40" s="2099" t="s">
        <v>2027</v>
      </c>
      <c r="B40" s="2100"/>
      <c r="C40" s="2100"/>
      <c r="D40" s="2100"/>
      <c r="E40" s="2100"/>
      <c r="F40" s="2100"/>
      <c r="G40" s="2100"/>
      <c r="H40" s="2101"/>
      <c r="I40" s="2051"/>
      <c r="J40" s="2053"/>
      <c r="K40" s="2053"/>
      <c r="L40" s="2053"/>
      <c r="M40" s="2053"/>
      <c r="N40" s="2053"/>
      <c r="O40" s="2053"/>
      <c r="P40" s="2053"/>
      <c r="Q40" s="2053"/>
      <c r="R40" s="2053"/>
      <c r="S40" s="2054"/>
      <c r="T40" s="2051" t="s">
        <v>2039</v>
      </c>
      <c r="U40" s="2052"/>
      <c r="V40" s="2053"/>
      <c r="W40" s="2053"/>
      <c r="X40" s="2053"/>
      <c r="Y40" s="2053"/>
      <c r="Z40" s="2053"/>
      <c r="AA40" s="205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5" t="s">
        <v>2036</v>
      </c>
      <c r="B42" s="2126"/>
      <c r="C42" s="2127"/>
      <c r="D42" s="2135" t="s">
        <v>2037</v>
      </c>
      <c r="E42" s="2126"/>
      <c r="F42" s="2126"/>
      <c r="G42" s="2126"/>
      <c r="H42" s="2127"/>
      <c r="I42" s="2046"/>
      <c r="J42" s="2042"/>
      <c r="K42" s="2042"/>
      <c r="L42" s="2042"/>
      <c r="M42" s="2042"/>
      <c r="N42" s="2042"/>
      <c r="O42" s="2043"/>
      <c r="P42" s="2041"/>
      <c r="Q42" s="2042"/>
      <c r="R42" s="2042"/>
      <c r="S42" s="2043"/>
      <c r="T42" s="2046" t="s">
        <v>2040</v>
      </c>
      <c r="U42" s="2042"/>
      <c r="V42" s="2042"/>
      <c r="W42" s="2043"/>
      <c r="X42" s="2041" t="s">
        <v>2041</v>
      </c>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9"/>
      <c r="B44" s="2130"/>
      <c r="C44" s="2130"/>
      <c r="D44" s="2130"/>
      <c r="E44" s="2130"/>
      <c r="F44" s="2130"/>
      <c r="G44" s="2130"/>
      <c r="H44" s="2131"/>
      <c r="I44" s="2121"/>
      <c r="J44" s="2123"/>
      <c r="K44" s="2123"/>
      <c r="L44" s="2123"/>
      <c r="M44" s="2123"/>
      <c r="N44" s="2123"/>
      <c r="O44" s="2123"/>
      <c r="P44" s="2123"/>
      <c r="Q44" s="2123"/>
      <c r="R44" s="2123"/>
      <c r="S44" s="2124"/>
      <c r="T44" s="2121"/>
      <c r="U44" s="2122"/>
      <c r="V44" s="2122"/>
      <c r="W44" s="2122"/>
      <c r="X44" s="2122"/>
      <c r="Y44" s="2122"/>
      <c r="Z44" s="2123"/>
      <c r="AA44" s="2124"/>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A4" sqref="A4:L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3" t="s">
        <v>1058</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686</v>
      </c>
      <c r="B40" s="2140"/>
      <c r="C40" s="2140"/>
      <c r="D40" s="2140"/>
      <c r="E40" s="2140"/>
    </row>
    <row r="41" spans="1:5" x14ac:dyDescent="0.2">
      <c r="A41" s="2141" t="s">
        <v>1594</v>
      </c>
      <c r="B41" s="2141"/>
      <c r="C41" s="2141"/>
      <c r="D41" s="2141"/>
      <c r="E41" s="2141"/>
    </row>
    <row r="42" spans="1:5" ht="12.75" customHeight="1" x14ac:dyDescent="0.2">
      <c r="A42" s="2142" t="s">
        <v>1015</v>
      </c>
      <c r="B42" s="2142"/>
      <c r="C42" s="2142"/>
      <c r="D42" s="2142"/>
      <c r="E42" s="214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A4" sqref="A4:L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1160</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8" t="s">
        <v>1619</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310</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35374</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1314</v>
      </c>
      <c r="B70" s="2161"/>
      <c r="C70" s="2161"/>
      <c r="D70" s="2161"/>
      <c r="E70" s="2162"/>
      <c r="F70" s="2162"/>
      <c r="G70" s="2162"/>
      <c r="H70" s="2162"/>
      <c r="I70" s="216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1311</v>
      </c>
      <c r="B83" s="2163"/>
      <c r="C83" s="2163"/>
      <c r="D83" s="216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4" t="s">
        <v>1992</v>
      </c>
      <c r="B85" s="2174"/>
      <c r="C85" s="2174"/>
      <c r="D85" s="2175"/>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6" t="s">
        <v>1992</v>
      </c>
      <c r="B88" s="2177"/>
      <c r="C88" s="2177"/>
      <c r="D88" s="2178"/>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t="s">
        <v>2023</v>
      </c>
      <c r="D114" s="21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1321</v>
      </c>
      <c r="D117" s="2156"/>
      <c r="E117" s="2157"/>
      <c r="F117" s="2157"/>
      <c r="G117" s="2157"/>
      <c r="H117" s="2157"/>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 sqref="A4:L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383</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45824657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2.5777399999999999E-2</v>
      </c>
      <c r="E10" s="333" t="s">
        <v>998</v>
      </c>
      <c r="F10" s="332">
        <v>3.6600000000000001E-3</v>
      </c>
      <c r="G10" s="333" t="s">
        <v>998</v>
      </c>
      <c r="H10" s="332">
        <v>4.3673000000000002E-3</v>
      </c>
      <c r="I10" s="333" t="s">
        <v>999</v>
      </c>
      <c r="J10" s="1417">
        <f>ROUND(D10+F10+H10,5)</f>
        <v>3.3799999999999997E-2</v>
      </c>
      <c r="K10" s="217"/>
      <c r="L10" s="332">
        <v>2.5569999999999998E-4</v>
      </c>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4545092</v>
      </c>
      <c r="E16" s="1540"/>
      <c r="F16" s="1539">
        <f>SUM('Acct Summary 7-8'!C17,'Acct Summary 7-8'!D17,'Acct Summary 7-8'!F17)</f>
        <v>4504710</v>
      </c>
      <c r="G16" s="1540"/>
      <c r="H16" s="1539">
        <f>SUM(D16-F16)</f>
        <v>40382</v>
      </c>
      <c r="I16" s="1541"/>
      <c r="J16" s="1539">
        <f>SUM('Acct Summary 7-8'!C81,'Acct Summary 7-8'!D81,'Acct Summary 7-8'!F81,'Acct Summary 7-8'!I81)</f>
        <v>5874756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6323802.6660000002</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660789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34" zoomScale="110" zoomScaleNormal="110" workbookViewId="0">
      <selection activeCell="A4" sqref="A4:L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Northwestern CUSD 2</v>
      </c>
      <c r="E7" s="368"/>
      <c r="G7" s="247"/>
      <c r="H7" s="364"/>
      <c r="I7" s="364"/>
      <c r="J7" s="364"/>
      <c r="K7" s="364"/>
      <c r="L7" s="307"/>
      <c r="M7" s="307"/>
      <c r="N7" s="307"/>
      <c r="O7" s="307"/>
      <c r="P7" s="307"/>
    </row>
    <row r="8" spans="1:18" ht="12.75" x14ac:dyDescent="0.2">
      <c r="A8" s="307"/>
      <c r="B8" s="307"/>
      <c r="C8" s="366" t="s">
        <v>1117</v>
      </c>
      <c r="D8" s="369">
        <f>COVER!A13</f>
        <v>40056002026</v>
      </c>
      <c r="E8" s="370"/>
      <c r="G8" s="307"/>
      <c r="H8" s="307"/>
      <c r="I8" s="307"/>
      <c r="J8" s="307"/>
      <c r="K8" s="307"/>
      <c r="L8" s="307"/>
      <c r="M8" s="307"/>
      <c r="N8" s="307"/>
      <c r="O8" s="307"/>
      <c r="P8" s="307"/>
    </row>
    <row r="9" spans="1:18" ht="12.75" x14ac:dyDescent="0.2">
      <c r="A9" s="307"/>
      <c r="B9" s="307"/>
      <c r="C9" s="366" t="s">
        <v>708</v>
      </c>
      <c r="D9" s="371" t="str">
        <f>COVER!A15</f>
        <v>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5874756</v>
      </c>
      <c r="I12" s="380"/>
      <c r="J12" s="380"/>
      <c r="K12" s="1552">
        <f>TRUNC((H12/H13*100000),5)/100000</f>
        <v>1.2925494137</v>
      </c>
      <c r="L12" s="381"/>
      <c r="M12" s="337" t="s">
        <v>1136</v>
      </c>
      <c r="N12" s="337"/>
      <c r="O12" s="1555">
        <v>0.35</v>
      </c>
      <c r="P12" s="213"/>
      <c r="Q12" s="213"/>
    </row>
    <row r="13" spans="1:18" s="382" customFormat="1" ht="12.75" x14ac:dyDescent="0.2">
      <c r="A13" s="213"/>
      <c r="B13" s="377"/>
      <c r="C13" s="2196" t="s">
        <v>1315</v>
      </c>
      <c r="D13" s="2197"/>
      <c r="E13" s="213"/>
      <c r="F13" s="383" t="s">
        <v>788</v>
      </c>
      <c r="G13" s="378"/>
      <c r="H13" s="1544">
        <f>SUM('Acct Summary 7-8'!C8+'Acct Summary 7-8'!D8+'Acct Summary 7-8'!F8+'Acct Summary 7-8'!I8)+H14</f>
        <v>4545092</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4504710</v>
      </c>
      <c r="I17" s="380"/>
      <c r="J17" s="389"/>
      <c r="K17" s="1552">
        <f>TRUNC((H17/H18*100000),5)/100000</f>
        <v>0.9911152513</v>
      </c>
      <c r="L17" s="381"/>
      <c r="M17" s="390" t="s">
        <v>1163</v>
      </c>
      <c r="O17" s="1558" t="str">
        <f>IF(AND(O16="2", J20 &gt; 2),"1",IF(AND(O16 = "1", J20 &gt; 2),"2",IF(AND(O16="1", J20 &gt;1),"1","0")))</f>
        <v>0</v>
      </c>
      <c r="P17" s="213"/>
    </row>
    <row r="18" spans="1:18" s="382" customFormat="1" ht="11.25" x14ac:dyDescent="0.2">
      <c r="A18" s="213"/>
      <c r="B18" s="377"/>
      <c r="C18" s="2196" t="s">
        <v>1308</v>
      </c>
      <c r="D18" s="2197"/>
      <c r="E18" s="213"/>
      <c r="F18" s="391" t="s">
        <v>789</v>
      </c>
      <c r="G18" s="378"/>
      <c r="H18" s="1544">
        <f>SUM('Acct Summary 7-8'!C8+'Acct Summary 7-8'!D8+'Acct Summary 7-8'!F8+'Acct Summary 7-8'!I8)+H19</f>
        <v>4545092</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3" t="s">
        <v>1398</v>
      </c>
      <c r="D24" s="2193"/>
      <c r="E24" s="213"/>
      <c r="F24" s="213" t="s">
        <v>442</v>
      </c>
      <c r="G24" s="378"/>
      <c r="H24" s="1544">
        <f>SUM('Assets-Liab 5-6'!C4+'Assets-Liab 5-6'!D4+'Assets-Liab 5-6'!F4+'Assets-Liab 5-6'!I4+'Assets-Liab 5-6'!C5+'Assets-Liab 5-6'!D5+'Assets-Liab 5-6'!F5+'Assets-Liab 5-6'!I5)</f>
        <v>5874756</v>
      </c>
      <c r="I24" s="394"/>
      <c r="J24" s="394"/>
      <c r="K24" s="1548">
        <f>TRUNC(((H24/H25*100000)/100000),2)</f>
        <v>469.48</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12513.083329999999</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1316542.39561</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660789</v>
      </c>
      <c r="I32" s="392"/>
      <c r="J32" s="392"/>
      <c r="K32" s="1548">
        <f>TRUNC(100-((((H32/H33*100))*100)/100),2)</f>
        <v>89.55</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6323802.6660000002</v>
      </c>
      <c r="I33" s="392"/>
      <c r="J33" s="392"/>
      <c r="K33" s="379"/>
      <c r="L33" s="213"/>
      <c r="M33" s="401" t="s">
        <v>1137</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A4" sqref="A4:L4"/>
      <selection pane="bottomLeft" activeCell="A4" sqref="A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3" t="s">
        <v>967</v>
      </c>
      <c r="B3" s="2204"/>
      <c r="C3" s="1299"/>
      <c r="D3" s="1300"/>
      <c r="E3" s="1300"/>
      <c r="F3" s="1300"/>
      <c r="G3" s="1300"/>
      <c r="H3" s="1300"/>
      <c r="I3" s="1300"/>
      <c r="J3" s="1300"/>
      <c r="K3" s="1300"/>
      <c r="L3" s="1300"/>
      <c r="M3" s="1301"/>
      <c r="N3" s="1302"/>
    </row>
    <row r="4" spans="1:14" ht="13.5" customHeight="1" x14ac:dyDescent="0.2">
      <c r="A4" s="427" t="s">
        <v>1635</v>
      </c>
      <c r="B4" s="428"/>
      <c r="C4" s="1565">
        <f>1923186+2500+8031</f>
        <v>1933717</v>
      </c>
      <c r="D4" s="1566">
        <v>297923</v>
      </c>
      <c r="E4" s="1566">
        <v>10558</v>
      </c>
      <c r="F4" s="1566">
        <v>361685</v>
      </c>
      <c r="G4" s="1566">
        <v>55210</v>
      </c>
      <c r="H4" s="1566">
        <v>168218</v>
      </c>
      <c r="I4" s="1566">
        <v>281431</v>
      </c>
      <c r="J4" s="1567">
        <v>58273</v>
      </c>
      <c r="K4" s="1566">
        <f>49521+307584</f>
        <v>357105</v>
      </c>
      <c r="L4" s="1566">
        <v>64253</v>
      </c>
      <c r="M4" s="1568"/>
      <c r="N4" s="1569"/>
    </row>
    <row r="5" spans="1:14" x14ac:dyDescent="0.2">
      <c r="A5" s="427" t="s">
        <v>985</v>
      </c>
      <c r="B5" s="429">
        <v>120</v>
      </c>
      <c r="C5" s="1565">
        <v>2250000</v>
      </c>
      <c r="D5" s="1566">
        <v>750000</v>
      </c>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4183717</v>
      </c>
      <c r="D13" s="1580">
        <f t="shared" ref="D13:L13" si="0">SUM(D4:D12)</f>
        <v>1047923</v>
      </c>
      <c r="E13" s="1580">
        <f t="shared" si="0"/>
        <v>10558</v>
      </c>
      <c r="F13" s="1580">
        <f t="shared" si="0"/>
        <v>361685</v>
      </c>
      <c r="G13" s="1580">
        <f t="shared" si="0"/>
        <v>55210</v>
      </c>
      <c r="H13" s="1580">
        <f t="shared" si="0"/>
        <v>168218</v>
      </c>
      <c r="I13" s="1580">
        <f t="shared" si="0"/>
        <v>281431</v>
      </c>
      <c r="J13" s="1580">
        <f t="shared" si="0"/>
        <v>58273</v>
      </c>
      <c r="K13" s="1580">
        <f t="shared" si="0"/>
        <v>357105</v>
      </c>
      <c r="L13" s="1580">
        <f t="shared" si="0"/>
        <v>64253</v>
      </c>
      <c r="M13" s="1568"/>
      <c r="N13" s="1569"/>
    </row>
    <row r="14" spans="1:14" ht="18" customHeight="1" thickTop="1" x14ac:dyDescent="0.2">
      <c r="A14" s="2205" t="s">
        <v>146</v>
      </c>
      <c r="B14" s="2206"/>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38961</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3413056</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56161</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f>1813797+1098838</f>
        <v>2912635</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10558</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650231</v>
      </c>
    </row>
    <row r="23" spans="1:14" ht="13.5" customHeight="1" thickBot="1" x14ac:dyDescent="0.25">
      <c r="A23" s="1419" t="s">
        <v>638</v>
      </c>
      <c r="B23" s="1422"/>
      <c r="C23" s="1568"/>
      <c r="D23" s="1568"/>
      <c r="E23" s="1568"/>
      <c r="F23" s="1568"/>
      <c r="G23" s="1568"/>
      <c r="H23" s="1568"/>
      <c r="I23" s="1568"/>
      <c r="J23" s="1568"/>
      <c r="K23" s="1568"/>
      <c r="L23" s="1568"/>
      <c r="M23" s="1587">
        <f>SUM(M15:M22)</f>
        <v>6420813</v>
      </c>
      <c r="N23" s="1587">
        <f>SUM(N21:N22)</f>
        <v>660789</v>
      </c>
    </row>
    <row r="24" spans="1:14" ht="18" customHeight="1" thickTop="1" x14ac:dyDescent="0.2">
      <c r="A24" s="2207" t="s">
        <v>594</v>
      </c>
      <c r="B24" s="2208"/>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64253</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64253</v>
      </c>
      <c r="M34" s="1568"/>
      <c r="N34" s="1578"/>
    </row>
    <row r="35" spans="1:14" ht="18" customHeight="1" thickTop="1" x14ac:dyDescent="0.2">
      <c r="A35" s="2209" t="s">
        <v>526</v>
      </c>
      <c r="B35" s="2210"/>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660789</v>
      </c>
    </row>
    <row r="37" spans="1:14" ht="13.5" thickBot="1" x14ac:dyDescent="0.25">
      <c r="A37" s="1419" t="s">
        <v>648</v>
      </c>
      <c r="B37" s="1422"/>
      <c r="C37" s="1575"/>
      <c r="D37" s="1575"/>
      <c r="E37" s="1575"/>
      <c r="F37" s="1575"/>
      <c r="G37" s="1575"/>
      <c r="H37" s="1575"/>
      <c r="I37" s="1575"/>
      <c r="J37" s="1575"/>
      <c r="K37" s="1575"/>
      <c r="L37" s="1578"/>
      <c r="M37" s="1568"/>
      <c r="N37" s="1587">
        <f>SUM(N36:N36)</f>
        <v>660789</v>
      </c>
    </row>
    <row r="38" spans="1:14" s="307" customFormat="1" ht="13.5" customHeight="1" thickTop="1" x14ac:dyDescent="0.2">
      <c r="A38" s="438" t="s">
        <v>417</v>
      </c>
      <c r="B38" s="432">
        <v>714</v>
      </c>
      <c r="C38" s="1566"/>
      <c r="D38" s="1566"/>
      <c r="E38" s="1566">
        <v>10558</v>
      </c>
      <c r="F38" s="1566"/>
      <c r="G38" s="1566">
        <v>55210</v>
      </c>
      <c r="H38" s="1566">
        <v>168218</v>
      </c>
      <c r="I38" s="1566"/>
      <c r="J38" s="1567">
        <v>58273</v>
      </c>
      <c r="K38" s="1566">
        <v>357105</v>
      </c>
      <c r="L38" s="1579"/>
      <c r="M38" s="1597"/>
      <c r="N38" s="1597"/>
    </row>
    <row r="39" spans="1:14" s="307" customFormat="1" ht="13.5" customHeight="1" x14ac:dyDescent="0.2">
      <c r="A39" s="438" t="s">
        <v>339</v>
      </c>
      <c r="B39" s="432">
        <v>730</v>
      </c>
      <c r="C39" s="1566">
        <v>4183717</v>
      </c>
      <c r="D39" s="1566">
        <v>1047923</v>
      </c>
      <c r="E39" s="1566"/>
      <c r="F39" s="1566">
        <v>361685</v>
      </c>
      <c r="G39" s="1566"/>
      <c r="H39" s="1566"/>
      <c r="I39" s="1566">
        <v>281431</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6420813</v>
      </c>
      <c r="N40" s="1597"/>
    </row>
    <row r="41" spans="1:14" ht="13.5" customHeight="1" thickBot="1" x14ac:dyDescent="0.25">
      <c r="A41" s="1419" t="s">
        <v>650</v>
      </c>
      <c r="B41" s="1398"/>
      <c r="C41" s="1587">
        <f>(SUM(C34,C37,C38,C39))</f>
        <v>4183717</v>
      </c>
      <c r="D41" s="1587">
        <f t="shared" ref="D41:L41" si="2">SUM(D34,D37,D38:D39)</f>
        <v>1047923</v>
      </c>
      <c r="E41" s="1587">
        <f t="shared" si="2"/>
        <v>10558</v>
      </c>
      <c r="F41" s="1587">
        <f t="shared" si="2"/>
        <v>361685</v>
      </c>
      <c r="G41" s="1587">
        <f t="shared" si="2"/>
        <v>55210</v>
      </c>
      <c r="H41" s="1587">
        <f t="shared" si="2"/>
        <v>168218</v>
      </c>
      <c r="I41" s="1587">
        <f t="shared" si="2"/>
        <v>281431</v>
      </c>
      <c r="J41" s="1587">
        <f t="shared" si="2"/>
        <v>58273</v>
      </c>
      <c r="K41" s="1587">
        <f t="shared" si="2"/>
        <v>357105</v>
      </c>
      <c r="L41" s="1587">
        <f t="shared" si="2"/>
        <v>64253</v>
      </c>
      <c r="M41" s="1587">
        <f>SUM(M40)</f>
        <v>6420813</v>
      </c>
      <c r="N41" s="1587">
        <f>SUM(N37)</f>
        <v>660789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A4" sqref="A4:L4"/>
      <selection pane="bottomLeft" activeCell="A4" sqref="A4:L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1" t="s">
        <v>1167</v>
      </c>
      <c r="B3" s="2232"/>
      <c r="C3" s="1304"/>
      <c r="D3" s="1305"/>
      <c r="E3" s="1305"/>
      <c r="F3" s="1305"/>
      <c r="G3" s="1305"/>
      <c r="H3" s="1305"/>
      <c r="I3" s="1305"/>
      <c r="J3" s="1305"/>
      <c r="K3" s="1306"/>
      <c r="L3" s="446"/>
    </row>
    <row r="4" spans="1:13" ht="15.75" customHeight="1" x14ac:dyDescent="0.2">
      <c r="A4" s="1530" t="s">
        <v>1485</v>
      </c>
      <c r="B4" s="1531">
        <v>1000</v>
      </c>
      <c r="C4" s="1599">
        <f>'Revenues 9-14'!C109</f>
        <v>1526899</v>
      </c>
      <c r="D4" s="1599">
        <f>'Revenues 9-14'!D109</f>
        <v>243333</v>
      </c>
      <c r="E4" s="1599">
        <f>'Revenues 9-14'!E109</f>
        <v>108637</v>
      </c>
      <c r="F4" s="1599">
        <f>'Revenues 9-14'!F109</f>
        <v>192960</v>
      </c>
      <c r="G4" s="1599">
        <f>'Revenues 9-14'!G109</f>
        <v>133064</v>
      </c>
      <c r="H4" s="1599">
        <f>'Revenues 9-14'!H109</f>
        <v>113424</v>
      </c>
      <c r="I4" s="1599">
        <f>'Revenues 9-14'!I109</f>
        <v>12963</v>
      </c>
      <c r="J4" s="1599">
        <f>'Revenues 9-14'!J109</f>
        <v>80989</v>
      </c>
      <c r="K4" s="1599">
        <f>'Revenues 9-14'!K109</f>
        <v>10454</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1989944</v>
      </c>
      <c r="D6" s="1600">
        <f>'Revenues 9-14'!D170</f>
        <v>50000</v>
      </c>
      <c r="E6" s="1600">
        <f>'Revenues 9-14'!E170</f>
        <v>0</v>
      </c>
      <c r="F6" s="1600">
        <f>'Revenues 9-14'!F170</f>
        <v>195166</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333827</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3850670</v>
      </c>
      <c r="D8" s="1587">
        <f t="shared" ref="D8:K8" si="0">SUM(D4:D7)</f>
        <v>293333</v>
      </c>
      <c r="E8" s="1587">
        <f t="shared" si="0"/>
        <v>108637</v>
      </c>
      <c r="F8" s="1587">
        <f t="shared" si="0"/>
        <v>388126</v>
      </c>
      <c r="G8" s="1587">
        <f t="shared" si="0"/>
        <v>133064</v>
      </c>
      <c r="H8" s="1587">
        <f t="shared" si="0"/>
        <v>113424</v>
      </c>
      <c r="I8" s="1587">
        <f t="shared" si="0"/>
        <v>12963</v>
      </c>
      <c r="J8" s="1587">
        <f t="shared" si="0"/>
        <v>80989</v>
      </c>
      <c r="K8" s="1587">
        <f t="shared" si="0"/>
        <v>10454</v>
      </c>
      <c r="L8" s="325"/>
    </row>
    <row r="9" spans="1:13" ht="15.75" thickTop="1" x14ac:dyDescent="0.2">
      <c r="A9" s="449" t="s">
        <v>1637</v>
      </c>
      <c r="B9" s="450">
        <v>3998</v>
      </c>
      <c r="C9" s="1579">
        <f>1528083+25440</f>
        <v>1553523</v>
      </c>
      <c r="D9" s="1606"/>
      <c r="E9" s="1579"/>
      <c r="F9" s="1579"/>
      <c r="G9" s="1607"/>
      <c r="H9" s="1579"/>
      <c r="I9" s="1602" t="s">
        <v>1161</v>
      </c>
      <c r="J9" s="1576"/>
      <c r="K9" s="1579"/>
      <c r="L9" s="325"/>
    </row>
    <row r="10" spans="1:13" s="452" customFormat="1" ht="13.5" thickBot="1" x14ac:dyDescent="0.25">
      <c r="A10" s="1419" t="s">
        <v>1165</v>
      </c>
      <c r="B10" s="1400"/>
      <c r="C10" s="1587">
        <f>SUM(C8:C9)</f>
        <v>5404193</v>
      </c>
      <c r="D10" s="1587">
        <f t="shared" ref="D10:K10" si="1">SUM(D8:D9)</f>
        <v>293333</v>
      </c>
      <c r="E10" s="1587">
        <f t="shared" si="1"/>
        <v>108637</v>
      </c>
      <c r="F10" s="1587">
        <f t="shared" si="1"/>
        <v>388126</v>
      </c>
      <c r="G10" s="1587">
        <f t="shared" si="1"/>
        <v>133064</v>
      </c>
      <c r="H10" s="1587">
        <f t="shared" si="1"/>
        <v>113424</v>
      </c>
      <c r="I10" s="1587">
        <f t="shared" si="1"/>
        <v>12963</v>
      </c>
      <c r="J10" s="1587">
        <f t="shared" si="1"/>
        <v>80989</v>
      </c>
      <c r="K10" s="1587">
        <f t="shared" si="1"/>
        <v>10454</v>
      </c>
      <c r="L10" s="451"/>
    </row>
    <row r="11" spans="1:13" s="452" customFormat="1" ht="16.7" customHeight="1" thickTop="1" x14ac:dyDescent="0.2">
      <c r="A11" s="2205" t="s">
        <v>1168</v>
      </c>
      <c r="B11" s="2206"/>
      <c r="C11" s="1595"/>
      <c r="D11" s="1596"/>
      <c r="E11" s="1596"/>
      <c r="F11" s="1596"/>
      <c r="G11" s="1596"/>
      <c r="H11" s="1596"/>
      <c r="I11" s="1596"/>
      <c r="J11" s="1596"/>
      <c r="K11" s="1608"/>
      <c r="L11" s="451"/>
    </row>
    <row r="12" spans="1:13" ht="15.75" customHeight="1" x14ac:dyDescent="0.2">
      <c r="A12" s="1307" t="s">
        <v>453</v>
      </c>
      <c r="B12" s="1309">
        <v>1000</v>
      </c>
      <c r="C12" s="1599">
        <f>'Expenditures 15-22'!K33</f>
        <v>2447532</v>
      </c>
      <c r="D12" s="1609" t="s">
        <v>1161</v>
      </c>
      <c r="E12" s="1568" t="s">
        <v>1161</v>
      </c>
      <c r="F12" s="1568" t="s">
        <v>1161</v>
      </c>
      <c r="G12" s="1599">
        <f>'Expenditures 15-22'!K229</f>
        <v>55310</v>
      </c>
      <c r="H12" s="1610"/>
      <c r="I12" s="1568" t="s">
        <v>1161</v>
      </c>
      <c r="J12" s="1568" t="s">
        <v>1161</v>
      </c>
      <c r="K12" s="1610" t="s">
        <v>1161</v>
      </c>
      <c r="L12" s="325"/>
    </row>
    <row r="13" spans="1:13" ht="15.75" customHeight="1" x14ac:dyDescent="0.2">
      <c r="A13" s="1307" t="s">
        <v>454</v>
      </c>
      <c r="B13" s="1309">
        <v>2000</v>
      </c>
      <c r="C13" s="1600">
        <f>'Expenditures 15-22'!K74</f>
        <v>1098894</v>
      </c>
      <c r="D13" s="1600">
        <f>'Expenditures 15-22'!K129</f>
        <v>278194</v>
      </c>
      <c r="E13" s="1569" t="s">
        <v>1161</v>
      </c>
      <c r="F13" s="1600">
        <f>'Expenditures 15-22'!K184</f>
        <v>361318</v>
      </c>
      <c r="G13" s="1600">
        <f>'Expenditures 15-22'!K279</f>
        <v>90835</v>
      </c>
      <c r="H13" s="1600">
        <f>'Expenditures 15-22'!K303</f>
        <v>96280</v>
      </c>
      <c r="I13" s="1568" t="s">
        <v>1161</v>
      </c>
      <c r="J13" s="1600">
        <f>'Expenditures 15-22'!K330</f>
        <v>75320</v>
      </c>
      <c r="K13" s="1611">
        <f>'Expenditures 15-22'!K352</f>
        <v>7458</v>
      </c>
      <c r="L13" s="325"/>
    </row>
    <row r="14" spans="1:13" ht="15.75" customHeight="1" x14ac:dyDescent="0.2">
      <c r="A14" s="1307" t="s">
        <v>446</v>
      </c>
      <c r="B14" s="1309">
        <v>3000</v>
      </c>
      <c r="C14" s="1600">
        <f>'Expenditures 15-22'!K75</f>
        <v>188982</v>
      </c>
      <c r="D14" s="1600">
        <f>'Expenditures 15-22'!K130</f>
        <v>0</v>
      </c>
      <c r="E14" s="1609" t="s">
        <v>1161</v>
      </c>
      <c r="F14" s="1600">
        <f>'Expenditures 15-22'!K185</f>
        <v>0</v>
      </c>
      <c r="G14" s="1600">
        <f>'Expenditures 15-22'!K280</f>
        <v>24560</v>
      </c>
      <c r="H14" s="1605"/>
      <c r="I14" s="1568" t="s">
        <v>1161</v>
      </c>
      <c r="J14" s="1568" t="s">
        <v>1161</v>
      </c>
      <c r="K14" s="1605" t="s">
        <v>1161</v>
      </c>
      <c r="L14" s="325"/>
    </row>
    <row r="15" spans="1:13" ht="15.75" customHeight="1" x14ac:dyDescent="0.2">
      <c r="A15" s="1307" t="s">
        <v>107</v>
      </c>
      <c r="B15" s="1309">
        <v>4000</v>
      </c>
      <c r="C15" s="1600">
        <f>'Expenditures 15-22'!K102</f>
        <v>92902</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108712</v>
      </c>
      <c r="F16" s="1600">
        <f>'Expenditures 15-22'!K208</f>
        <v>36888</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3828310</v>
      </c>
      <c r="D17" s="1587">
        <f t="shared" si="2"/>
        <v>278194</v>
      </c>
      <c r="E17" s="1587">
        <f t="shared" si="2"/>
        <v>108712</v>
      </c>
      <c r="F17" s="1587">
        <f t="shared" si="2"/>
        <v>398206</v>
      </c>
      <c r="G17" s="1587">
        <f t="shared" si="2"/>
        <v>170705</v>
      </c>
      <c r="H17" s="1587">
        <f t="shared" si="2"/>
        <v>96280</v>
      </c>
      <c r="I17" s="1568"/>
      <c r="J17" s="1587">
        <f>SUM(J12:J16)</f>
        <v>75320</v>
      </c>
      <c r="K17" s="1587">
        <f>SUM(K12:K16)</f>
        <v>7458</v>
      </c>
      <c r="L17" s="325"/>
    </row>
    <row r="18" spans="1:12" ht="15" customHeight="1" thickTop="1" x14ac:dyDescent="0.2">
      <c r="A18" s="1423" t="s">
        <v>1638</v>
      </c>
      <c r="B18" s="1424">
        <v>4180</v>
      </c>
      <c r="C18" s="1599">
        <f t="shared" ref="C18:H18" si="3">C9</f>
        <v>1553523</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5381833</v>
      </c>
      <c r="D19" s="1587">
        <f t="shared" si="4"/>
        <v>278194</v>
      </c>
      <c r="E19" s="1587">
        <f t="shared" si="4"/>
        <v>108712</v>
      </c>
      <c r="F19" s="1587">
        <f t="shared" si="4"/>
        <v>398206</v>
      </c>
      <c r="G19" s="1587">
        <f t="shared" si="4"/>
        <v>170705</v>
      </c>
      <c r="H19" s="1587">
        <f t="shared" si="4"/>
        <v>96280</v>
      </c>
      <c r="I19" s="1568"/>
      <c r="J19" s="1587">
        <f>SUM(J17:J18)</f>
        <v>75320</v>
      </c>
      <c r="K19" s="1587">
        <f>SUM(K17:K18)</f>
        <v>7458</v>
      </c>
      <c r="L19" s="325"/>
    </row>
    <row r="20" spans="1:12" ht="16.5" thickTop="1" thickBot="1" x14ac:dyDescent="0.25">
      <c r="A20" s="2221" t="s">
        <v>1639</v>
      </c>
      <c r="B20" s="2222"/>
      <c r="C20" s="1615">
        <f>C8-C17</f>
        <v>22360</v>
      </c>
      <c r="D20" s="1615">
        <f t="shared" ref="D20:K20" si="5">D8-D17</f>
        <v>15139</v>
      </c>
      <c r="E20" s="1615">
        <f t="shared" si="5"/>
        <v>-75</v>
      </c>
      <c r="F20" s="1615">
        <f t="shared" si="5"/>
        <v>-10080</v>
      </c>
      <c r="G20" s="1615">
        <f t="shared" si="5"/>
        <v>-37641</v>
      </c>
      <c r="H20" s="1615">
        <f t="shared" si="5"/>
        <v>17144</v>
      </c>
      <c r="I20" s="1615">
        <f t="shared" si="5"/>
        <v>12963</v>
      </c>
      <c r="J20" s="1615">
        <f t="shared" si="5"/>
        <v>5669</v>
      </c>
      <c r="K20" s="1615">
        <f t="shared" si="5"/>
        <v>2996</v>
      </c>
      <c r="L20" s="325"/>
    </row>
    <row r="21" spans="1:12" ht="16.7" customHeight="1" thickTop="1" x14ac:dyDescent="0.2">
      <c r="A21" s="2233" t="s">
        <v>591</v>
      </c>
      <c r="B21" s="2234"/>
      <c r="C21" s="1595"/>
      <c r="D21" s="1596"/>
      <c r="E21" s="1596"/>
      <c r="F21" s="1596"/>
      <c r="G21" s="1596"/>
      <c r="H21" s="1596"/>
      <c r="I21" s="1596"/>
      <c r="J21" s="1596"/>
      <c r="K21" s="1608"/>
      <c r="L21" s="453"/>
    </row>
    <row r="22" spans="1:12" ht="15.75" customHeight="1" collapsed="1" x14ac:dyDescent="0.2">
      <c r="A22" s="2229" t="s">
        <v>592</v>
      </c>
      <c r="B22" s="2230"/>
      <c r="C22" s="1575"/>
      <c r="D22" s="1575"/>
      <c r="E22" s="1575"/>
      <c r="F22" s="1575"/>
      <c r="G22" s="1575"/>
      <c r="H22" s="1575"/>
      <c r="I22" s="1575"/>
      <c r="J22" s="1575"/>
      <c r="K22" s="1575"/>
      <c r="L22" s="325"/>
    </row>
    <row r="23" spans="1:12" s="433" customFormat="1" ht="15.75" customHeight="1" x14ac:dyDescent="0.2">
      <c r="A23" s="2225" t="s">
        <v>290</v>
      </c>
      <c r="B23" s="2226"/>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27" t="s">
        <v>974</v>
      </c>
      <c r="B32" s="2228"/>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v>5309</v>
      </c>
      <c r="D36" s="1567"/>
      <c r="E36" s="1567"/>
      <c r="F36" s="1567">
        <v>500</v>
      </c>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5" t="s">
        <v>371</v>
      </c>
      <c r="B44" s="2236"/>
      <c r="C44" s="1617">
        <f>SUM(C24:C43)</f>
        <v>5309</v>
      </c>
      <c r="D44" s="1617">
        <f t="shared" ref="D44:K44" si="6">SUM(D24:D43)</f>
        <v>0</v>
      </c>
      <c r="E44" s="1617">
        <f t="shared" si="6"/>
        <v>0</v>
      </c>
      <c r="F44" s="1617">
        <f t="shared" si="6"/>
        <v>500</v>
      </c>
      <c r="G44" s="1617">
        <f t="shared" si="6"/>
        <v>0</v>
      </c>
      <c r="H44" s="1617">
        <f t="shared" si="6"/>
        <v>0</v>
      </c>
      <c r="I44" s="1617">
        <f t="shared" si="6"/>
        <v>0</v>
      </c>
      <c r="J44" s="1617">
        <f t="shared" si="6"/>
        <v>0</v>
      </c>
      <c r="K44" s="1617">
        <f t="shared" si="6"/>
        <v>0</v>
      </c>
      <c r="L44" s="453"/>
    </row>
    <row r="45" spans="1:12" ht="15.75" customHeight="1" thickTop="1" x14ac:dyDescent="0.2">
      <c r="A45" s="2229" t="s">
        <v>108</v>
      </c>
      <c r="B45" s="2230"/>
      <c r="C45" s="1618"/>
      <c r="D45" s="1618"/>
      <c r="E45" s="1618"/>
      <c r="F45" s="1618"/>
      <c r="G45" s="1618"/>
      <c r="H45" s="1618"/>
      <c r="I45" s="1618"/>
      <c r="J45" s="1618"/>
      <c r="K45" s="1618"/>
      <c r="L45" s="325"/>
    </row>
    <row r="46" spans="1:12" s="433" customFormat="1" ht="15.75" customHeight="1" x14ac:dyDescent="0.2">
      <c r="A46" s="2237" t="s">
        <v>109</v>
      </c>
      <c r="B46" s="2238"/>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1" t="s">
        <v>437</v>
      </c>
      <c r="B76" s="2212"/>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3" t="s">
        <v>1169</v>
      </c>
      <c r="B77" s="2214"/>
      <c r="C77" s="1617">
        <f t="shared" ref="C77:K77" si="8">C44-C76</f>
        <v>5309</v>
      </c>
      <c r="D77" s="1617">
        <f t="shared" si="8"/>
        <v>0</v>
      </c>
      <c r="E77" s="1617">
        <f t="shared" si="8"/>
        <v>0</v>
      </c>
      <c r="F77" s="1617">
        <f t="shared" si="8"/>
        <v>500</v>
      </c>
      <c r="G77" s="1617">
        <f t="shared" si="8"/>
        <v>0</v>
      </c>
      <c r="H77" s="1617">
        <f t="shared" si="8"/>
        <v>0</v>
      </c>
      <c r="I77" s="1617">
        <f t="shared" si="8"/>
        <v>0</v>
      </c>
      <c r="J77" s="1617">
        <f t="shared" si="8"/>
        <v>0</v>
      </c>
      <c r="K77" s="1617">
        <f t="shared" si="8"/>
        <v>0</v>
      </c>
      <c r="L77" s="325"/>
    </row>
    <row r="78" spans="1:12" ht="21.75" customHeight="1" thickTop="1" thickBot="1" x14ac:dyDescent="0.25">
      <c r="A78" s="2217" t="s">
        <v>593</v>
      </c>
      <c r="B78" s="2218"/>
      <c r="C78" s="1622">
        <f t="shared" ref="C78:K78" si="9">C20+C77</f>
        <v>27669</v>
      </c>
      <c r="D78" s="1622">
        <f t="shared" si="9"/>
        <v>15139</v>
      </c>
      <c r="E78" s="1622">
        <f t="shared" si="9"/>
        <v>-75</v>
      </c>
      <c r="F78" s="1622">
        <f t="shared" si="9"/>
        <v>-9580</v>
      </c>
      <c r="G78" s="1622">
        <f t="shared" si="9"/>
        <v>-37641</v>
      </c>
      <c r="H78" s="1622">
        <f t="shared" si="9"/>
        <v>17144</v>
      </c>
      <c r="I78" s="1622">
        <f t="shared" si="9"/>
        <v>12963</v>
      </c>
      <c r="J78" s="1622">
        <f t="shared" si="9"/>
        <v>5669</v>
      </c>
      <c r="K78" s="1622">
        <f t="shared" si="9"/>
        <v>2996</v>
      </c>
      <c r="L78" s="457"/>
    </row>
    <row r="79" spans="1:12" ht="13.5" thickTop="1" x14ac:dyDescent="0.2">
      <c r="A79" s="1837" t="str">
        <f>"Fund Balances - July 1, "&amp;'AFR20'!E2-1</f>
        <v>Fund Balances - July 1, 2019</v>
      </c>
      <c r="B79" s="458"/>
      <c r="C79" s="1576">
        <v>4156048</v>
      </c>
      <c r="D79" s="1623">
        <v>1032784</v>
      </c>
      <c r="E79" s="1623">
        <v>10633</v>
      </c>
      <c r="F79" s="1623">
        <v>371265</v>
      </c>
      <c r="G79" s="1623">
        <v>92851</v>
      </c>
      <c r="H79" s="1623">
        <v>151074</v>
      </c>
      <c r="I79" s="1623">
        <v>268468</v>
      </c>
      <c r="J79" s="1623">
        <v>52604</v>
      </c>
      <c r="K79" s="1623">
        <v>354109</v>
      </c>
      <c r="L79" s="325"/>
    </row>
    <row r="80" spans="1:12" x14ac:dyDescent="0.2">
      <c r="A80" s="2223" t="s">
        <v>1775</v>
      </c>
      <c r="B80" s="2224"/>
      <c r="C80" s="1567"/>
      <c r="D80" s="1567"/>
      <c r="E80" s="1567"/>
      <c r="F80" s="1567"/>
      <c r="G80" s="1567"/>
      <c r="H80" s="1567"/>
      <c r="I80" s="1567"/>
      <c r="J80" s="1567"/>
      <c r="K80" s="1567"/>
      <c r="L80" s="325"/>
    </row>
    <row r="81" spans="1:12" ht="13.5" thickBot="1" x14ac:dyDescent="0.25">
      <c r="A81" s="2215" t="str">
        <f>"Fund Balances - June 30, "&amp;'AFR20'!E2</f>
        <v>Fund Balances - June 30, 2020</v>
      </c>
      <c r="B81" s="2216"/>
      <c r="C81" s="1587">
        <f>(SUM(C78:C80))</f>
        <v>4183717</v>
      </c>
      <c r="D81" s="1587">
        <f>SUM(D78:D80)</f>
        <v>1047923</v>
      </c>
      <c r="E81" s="1587">
        <f t="shared" ref="E81:K81" si="10">SUM(E78:E80)</f>
        <v>10558</v>
      </c>
      <c r="F81" s="1587">
        <f t="shared" si="10"/>
        <v>361685</v>
      </c>
      <c r="G81" s="1587">
        <f t="shared" si="10"/>
        <v>55210</v>
      </c>
      <c r="H81" s="1587">
        <f t="shared" si="10"/>
        <v>168218</v>
      </c>
      <c r="I81" s="1587">
        <f t="shared" si="10"/>
        <v>281431</v>
      </c>
      <c r="J81" s="1587">
        <f t="shared" si="10"/>
        <v>58273</v>
      </c>
      <c r="K81" s="1587">
        <f t="shared" si="10"/>
        <v>357105</v>
      </c>
      <c r="L81" s="325"/>
    </row>
    <row r="82" spans="1:12" ht="0.75" customHeight="1" thickTop="1" thickBot="1" x14ac:dyDescent="0.25">
      <c r="A82" s="459" t="s">
        <v>340</v>
      </c>
      <c r="B82" s="460"/>
      <c r="C82" s="461">
        <f>(C81-C79)</f>
        <v>27669</v>
      </c>
      <c r="D82" s="461">
        <f t="shared" ref="D82:K82" si="11">(D81-D79)</f>
        <v>15139</v>
      </c>
      <c r="E82" s="461">
        <f t="shared" si="11"/>
        <v>-75</v>
      </c>
      <c r="F82" s="461">
        <f t="shared" si="11"/>
        <v>-9580</v>
      </c>
      <c r="G82" s="461">
        <f t="shared" si="11"/>
        <v>-37641</v>
      </c>
      <c r="H82" s="461">
        <f t="shared" si="11"/>
        <v>17144</v>
      </c>
      <c r="I82" s="461">
        <f t="shared" si="11"/>
        <v>12963</v>
      </c>
      <c r="J82" s="461">
        <f t="shared" si="11"/>
        <v>5669</v>
      </c>
      <c r="K82" s="461">
        <f t="shared" si="11"/>
        <v>2996</v>
      </c>
    </row>
    <row r="83" spans="1:12" ht="14.25" hidden="1" thickTop="1" thickBot="1" x14ac:dyDescent="0.25">
      <c r="A83" s="462" t="s">
        <v>341</v>
      </c>
      <c r="B83" s="428"/>
      <c r="C83" s="463">
        <f>C82/C81</f>
        <v>6.6134970410283486E-3</v>
      </c>
      <c r="D83" s="463">
        <f t="shared" ref="D83:K83" si="12">D82/D81</f>
        <v>1.4446672131444772E-2</v>
      </c>
      <c r="E83" s="463">
        <f t="shared" si="12"/>
        <v>-7.103618109490434E-3</v>
      </c>
      <c r="F83" s="463">
        <f t="shared" si="12"/>
        <v>-2.6487136596762377E-2</v>
      </c>
      <c r="G83" s="463">
        <f t="shared" si="12"/>
        <v>-0.68177866328563663</v>
      </c>
      <c r="H83" s="463">
        <f t="shared" si="12"/>
        <v>0.10191537172002996</v>
      </c>
      <c r="I83" s="463">
        <f t="shared" si="12"/>
        <v>4.6061023838880576E-2</v>
      </c>
      <c r="J83" s="463">
        <f t="shared" si="12"/>
        <v>9.7283476052374168E-2</v>
      </c>
      <c r="K83" s="463">
        <f t="shared" si="12"/>
        <v>8.3896893070665498E-3</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3" activePane="bottomLeft" state="frozen"/>
      <selection activeCell="A4" sqref="A4:L4"/>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1782</v>
      </c>
      <c r="B1" s="416"/>
      <c r="C1" s="417" t="s">
        <v>422</v>
      </c>
      <c r="D1" s="417" t="s">
        <v>423</v>
      </c>
      <c r="E1" s="417" t="s">
        <v>424</v>
      </c>
      <c r="F1" s="417" t="s">
        <v>425</v>
      </c>
      <c r="G1" s="417" t="s">
        <v>426</v>
      </c>
      <c r="H1" s="417" t="s">
        <v>427</v>
      </c>
      <c r="I1" s="417" t="s">
        <v>428</v>
      </c>
      <c r="J1" s="417" t="s">
        <v>429</v>
      </c>
      <c r="K1" s="417" t="s">
        <v>751</v>
      </c>
    </row>
    <row r="2" spans="1:12" ht="36" x14ac:dyDescent="0.2">
      <c r="A2" s="222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1167249</v>
      </c>
      <c r="D5" s="1579">
        <v>151399</v>
      </c>
      <c r="E5" s="1566">
        <v>108637</v>
      </c>
      <c r="F5" s="1624">
        <v>190474</v>
      </c>
      <c r="G5" s="1566">
        <v>63491</v>
      </c>
      <c r="H5" s="1566"/>
      <c r="I5" s="1566">
        <v>11231</v>
      </c>
      <c r="J5" s="1567">
        <v>73258</v>
      </c>
      <c r="K5" s="1566">
        <v>7622</v>
      </c>
    </row>
    <row r="6" spans="1:12" ht="15" x14ac:dyDescent="0.2">
      <c r="A6" s="427" t="s">
        <v>1646</v>
      </c>
      <c r="B6" s="429">
        <v>1130</v>
      </c>
      <c r="C6" s="1566">
        <v>4883</v>
      </c>
      <c r="D6" s="1566"/>
      <c r="E6" s="1573"/>
      <c r="F6" s="1573"/>
      <c r="G6" s="1568"/>
      <c r="H6" s="1568"/>
      <c r="I6" s="1568"/>
      <c r="J6" s="1568"/>
      <c r="K6" s="1568"/>
    </row>
    <row r="7" spans="1:12" x14ac:dyDescent="0.2">
      <c r="A7" s="427" t="s">
        <v>110</v>
      </c>
      <c r="B7" s="471">
        <v>1140</v>
      </c>
      <c r="C7" s="1566">
        <v>9767</v>
      </c>
      <c r="D7" s="1566"/>
      <c r="E7" s="1568"/>
      <c r="F7" s="1567"/>
      <c r="G7" s="1567"/>
      <c r="H7" s="1567"/>
      <c r="I7" s="1568"/>
      <c r="J7" s="1568"/>
      <c r="K7" s="1568"/>
    </row>
    <row r="8" spans="1:12" x14ac:dyDescent="0.2">
      <c r="A8" s="427" t="s">
        <v>410</v>
      </c>
      <c r="B8" s="429">
        <v>1150</v>
      </c>
      <c r="C8" s="1573"/>
      <c r="D8" s="1573"/>
      <c r="E8" s="1575"/>
      <c r="F8" s="1575"/>
      <c r="G8" s="1579">
        <v>63491</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1181899</v>
      </c>
      <c r="D12" s="1626">
        <f t="shared" si="0"/>
        <v>151399</v>
      </c>
      <c r="E12" s="1626">
        <f t="shared" si="0"/>
        <v>108637</v>
      </c>
      <c r="F12" s="1626">
        <f t="shared" si="0"/>
        <v>190474</v>
      </c>
      <c r="G12" s="1626">
        <f t="shared" si="0"/>
        <v>126982</v>
      </c>
      <c r="H12" s="1626">
        <f t="shared" si="0"/>
        <v>0</v>
      </c>
      <c r="I12" s="1626">
        <f t="shared" si="0"/>
        <v>11231</v>
      </c>
      <c r="J12" s="1626">
        <f t="shared" si="0"/>
        <v>73258</v>
      </c>
      <c r="K12" s="1587">
        <f t="shared" si="0"/>
        <v>7622</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60058</v>
      </c>
      <c r="D16" s="1566">
        <v>8000</v>
      </c>
      <c r="E16" s="1566"/>
      <c r="F16" s="1566"/>
      <c r="G16" s="1566">
        <v>5300</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60058</v>
      </c>
      <c r="D18" s="1628">
        <f t="shared" ref="D18:K18" si="1">SUM(D14:D17)</f>
        <v>8000</v>
      </c>
      <c r="E18" s="1628">
        <f t="shared" si="1"/>
        <v>0</v>
      </c>
      <c r="F18" s="1628">
        <f t="shared" si="1"/>
        <v>0</v>
      </c>
      <c r="G18" s="1628">
        <f t="shared" si="1"/>
        <v>5300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73870</v>
      </c>
      <c r="D65" s="1566">
        <v>21474</v>
      </c>
      <c r="E65" s="1566"/>
      <c r="F65" s="1567">
        <f>2259+1</f>
        <v>2260</v>
      </c>
      <c r="G65" s="1566">
        <v>782</v>
      </c>
      <c r="H65" s="1566">
        <v>1060</v>
      </c>
      <c r="I65" s="1566">
        <v>1732</v>
      </c>
      <c r="J65" s="1567">
        <v>371</v>
      </c>
      <c r="K65" s="1566">
        <v>2832</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73870</v>
      </c>
      <c r="D67" s="1587">
        <f t="shared" ref="D67:K67" si="2">SUM(D65:D66)</f>
        <v>21474</v>
      </c>
      <c r="E67" s="1587">
        <f t="shared" si="2"/>
        <v>0</v>
      </c>
      <c r="F67" s="1587">
        <f t="shared" si="2"/>
        <v>2260</v>
      </c>
      <c r="G67" s="1587">
        <f t="shared" si="2"/>
        <v>782</v>
      </c>
      <c r="H67" s="1587">
        <f t="shared" si="2"/>
        <v>1060</v>
      </c>
      <c r="I67" s="1587">
        <f t="shared" si="2"/>
        <v>1732</v>
      </c>
      <c r="J67" s="1587">
        <f t="shared" si="2"/>
        <v>371</v>
      </c>
      <c r="K67" s="1587">
        <f t="shared" si="2"/>
        <v>2832</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3674</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3674</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f>1211+240</f>
        <v>1451</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f>400+875+550+780</f>
        <v>2605</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4056</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14689</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14689</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f>12300+150874</f>
        <v>163174</v>
      </c>
      <c r="D95" s="1625">
        <v>10000</v>
      </c>
      <c r="E95" s="1610"/>
      <c r="F95" s="1610"/>
      <c r="G95" s="1610"/>
      <c r="H95" s="1610"/>
      <c r="I95" s="1610"/>
      <c r="J95" s="1610"/>
      <c r="K95" s="1610"/>
    </row>
    <row r="96" spans="1:11" ht="12.75" customHeight="1" x14ac:dyDescent="0.2">
      <c r="A96" s="427" t="s">
        <v>388</v>
      </c>
      <c r="B96" s="429">
        <v>1920</v>
      </c>
      <c r="C96" s="1625"/>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c r="E99" s="1566"/>
      <c r="F99" s="1566"/>
      <c r="G99" s="1566"/>
      <c r="H99" s="1566"/>
      <c r="I99" s="1568"/>
      <c r="J99" s="1567">
        <v>7360</v>
      </c>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v>112364</v>
      </c>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f>25254+225</f>
        <v>25479</v>
      </c>
      <c r="D107" s="1566">
        <v>52460</v>
      </c>
      <c r="E107" s="1566"/>
      <c r="F107" s="1566">
        <v>226</v>
      </c>
      <c r="G107" s="1566"/>
      <c r="H107" s="1566"/>
      <c r="I107" s="1566"/>
      <c r="J107" s="1567"/>
      <c r="K107" s="1566"/>
    </row>
    <row r="108" spans="1:12" ht="12.75" customHeight="1" thickBot="1" x14ac:dyDescent="0.25">
      <c r="A108" s="1399" t="s">
        <v>484</v>
      </c>
      <c r="B108" s="1401"/>
      <c r="C108" s="1626">
        <f>SUM(C95:C107)</f>
        <v>188653</v>
      </c>
      <c r="D108" s="1626">
        <f t="shared" ref="D108:K108" si="3">SUM(D95:D107)</f>
        <v>62460</v>
      </c>
      <c r="E108" s="1626">
        <f t="shared" si="3"/>
        <v>0</v>
      </c>
      <c r="F108" s="1626">
        <f t="shared" si="3"/>
        <v>226</v>
      </c>
      <c r="G108" s="1626">
        <f t="shared" si="3"/>
        <v>0</v>
      </c>
      <c r="H108" s="1626">
        <f t="shared" si="3"/>
        <v>112364</v>
      </c>
      <c r="I108" s="1626">
        <f t="shared" si="3"/>
        <v>0</v>
      </c>
      <c r="J108" s="1626">
        <f t="shared" si="3"/>
        <v>7360</v>
      </c>
      <c r="K108" s="1587">
        <f t="shared" si="3"/>
        <v>0</v>
      </c>
    </row>
    <row r="109" spans="1:12" ht="14.25" thickTop="1" thickBot="1" x14ac:dyDescent="0.25">
      <c r="A109" s="1402" t="s">
        <v>246</v>
      </c>
      <c r="B109" s="1403" t="s">
        <v>566</v>
      </c>
      <c r="C109" s="1634">
        <f t="shared" ref="C109:K109" si="4">SUM(C12,C18,C40,C63,C67,C75,C82,C93,C108,)</f>
        <v>1526899</v>
      </c>
      <c r="D109" s="1634">
        <f t="shared" si="4"/>
        <v>243333</v>
      </c>
      <c r="E109" s="1634">
        <f t="shared" si="4"/>
        <v>108637</v>
      </c>
      <c r="F109" s="1634">
        <f t="shared" si="4"/>
        <v>192960</v>
      </c>
      <c r="G109" s="1634">
        <f t="shared" si="4"/>
        <v>133064</v>
      </c>
      <c r="H109" s="1634">
        <f t="shared" si="4"/>
        <v>113424</v>
      </c>
      <c r="I109" s="1634">
        <f t="shared" si="4"/>
        <v>12963</v>
      </c>
      <c r="J109" s="1634">
        <f t="shared" si="4"/>
        <v>80989</v>
      </c>
      <c r="K109" s="1622">
        <f t="shared" si="4"/>
        <v>10454</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1563638</v>
      </c>
      <c r="D117" s="1579">
        <v>50000</v>
      </c>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1563638</v>
      </c>
      <c r="D122" s="1626">
        <f t="shared" si="5"/>
        <v>50000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51550</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7979</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59529</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v>4309</v>
      </c>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v>12143</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16452</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2003</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2683</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86208</v>
      </c>
      <c r="G152" s="1567"/>
      <c r="H152" s="1568"/>
      <c r="I152" s="1568"/>
      <c r="J152" s="1568"/>
      <c r="K152" s="1568"/>
    </row>
    <row r="153" spans="1:11" ht="12.75" customHeight="1" x14ac:dyDescent="0.2">
      <c r="A153" s="427" t="s">
        <v>1050</v>
      </c>
      <c r="B153" s="478">
        <v>3510</v>
      </c>
      <c r="C153" s="1625"/>
      <c r="D153" s="1566"/>
      <c r="E153" s="1633"/>
      <c r="F153" s="1566">
        <v>108958</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195166</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f>256608+89031</f>
        <v>345639</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c r="D168" s="1648"/>
      <c r="E168" s="1648"/>
      <c r="F168" s="1648"/>
      <c r="G168" s="1649"/>
      <c r="H168" s="1650"/>
      <c r="I168" s="1649"/>
      <c r="J168" s="1649"/>
      <c r="K168" s="1650"/>
    </row>
    <row r="169" spans="1:11" ht="12.75" customHeight="1" thickTop="1" thickBot="1" x14ac:dyDescent="0.25">
      <c r="A169" s="2239" t="s">
        <v>395</v>
      </c>
      <c r="B169" s="2240"/>
      <c r="C169" s="1651">
        <f t="shared" ref="C169:K169" si="6">SUM(C132,C141,C145,C146:C150,C155,C156:C167,C168)</f>
        <v>426306</v>
      </c>
      <c r="D169" s="1651">
        <f t="shared" si="6"/>
        <v>0</v>
      </c>
      <c r="E169" s="1651">
        <f t="shared" si="6"/>
        <v>0</v>
      </c>
      <c r="F169" s="1651">
        <f t="shared" si="6"/>
        <v>195166</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1989944</v>
      </c>
      <c r="D170" s="1634">
        <f t="shared" si="7"/>
        <v>50000</v>
      </c>
      <c r="E170" s="1634">
        <f t="shared" si="7"/>
        <v>0</v>
      </c>
      <c r="F170" s="1634">
        <f t="shared" si="7"/>
        <v>195166</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41" t="s">
        <v>1478</v>
      </c>
      <c r="B172" s="2242"/>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5" t="s">
        <v>1649</v>
      </c>
      <c r="B175" s="2246"/>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49" t="s">
        <v>1648</v>
      </c>
      <c r="B176" s="2250"/>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47" t="s">
        <v>780</v>
      </c>
      <c r="B181" s="2248"/>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3" t="s">
        <v>1783</v>
      </c>
      <c r="B182" s="2244"/>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v>6714</v>
      </c>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6714</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91861</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34834</v>
      </c>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126695</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142474</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142474</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13981</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13981</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v>4171</v>
      </c>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4171</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1535</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9829</v>
      </c>
      <c r="D263" s="1644"/>
      <c r="E263" s="1568"/>
      <c r="F263" s="1644"/>
      <c r="G263" s="1644"/>
      <c r="H263" s="1568"/>
      <c r="I263" s="1568"/>
      <c r="J263" s="1568"/>
      <c r="K263" s="1568"/>
    </row>
    <row r="264" spans="1:11" ht="12.75" customHeight="1" thickTop="1" thickBot="1" x14ac:dyDescent="0.25">
      <c r="A264" s="427" t="s">
        <v>374</v>
      </c>
      <c r="B264" s="429">
        <v>4992</v>
      </c>
      <c r="C264" s="1643">
        <v>28428</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333827</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333827</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3850670</v>
      </c>
      <c r="D268" s="1634">
        <f t="shared" si="12"/>
        <v>293333</v>
      </c>
      <c r="E268" s="1634">
        <f t="shared" si="12"/>
        <v>108637</v>
      </c>
      <c r="F268" s="1634">
        <f t="shared" si="12"/>
        <v>388126</v>
      </c>
      <c r="G268" s="1634">
        <f t="shared" si="12"/>
        <v>133064</v>
      </c>
      <c r="H268" s="1634">
        <f t="shared" si="12"/>
        <v>113424</v>
      </c>
      <c r="I268" s="1634">
        <f t="shared" si="12"/>
        <v>12963</v>
      </c>
      <c r="J268" s="1634">
        <f t="shared" si="12"/>
        <v>80989</v>
      </c>
      <c r="K268" s="1622">
        <f t="shared" si="12"/>
        <v>10454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3" activePane="bottomLeft" state="frozen"/>
      <selection activeCell="A4" sqref="A4:L4"/>
      <selection pane="bottomLeft" activeCell="A4" sqref="A4:L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7" t="s">
        <v>294</v>
      </c>
      <c r="B3" s="2258"/>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f>618380+19615+10440+4637+155271+1869+277852+29164+7849+1</f>
        <v>1125078</v>
      </c>
      <c r="D5" s="1566">
        <f>77699+15989+292+89895+1800+17593+3926+57+8680+30588+6827+8+164+42792+1350</f>
        <v>297660</v>
      </c>
      <c r="E5" s="1566">
        <f>15921+232+6818+11133+264+1</f>
        <v>34369</v>
      </c>
      <c r="F5" s="1566">
        <f>15395+4541+1378+1961+2405+8363+3045+662+1</f>
        <v>37751</v>
      </c>
      <c r="G5" s="1566"/>
      <c r="H5" s="1566"/>
      <c r="I5" s="1567"/>
      <c r="J5" s="1567"/>
      <c r="K5" s="1665">
        <f>SUM(C5:J5)</f>
        <v>1494858</v>
      </c>
      <c r="L5" s="1566">
        <v>1523945</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f>36586+24237+1778+248</f>
        <v>62849</v>
      </c>
      <c r="D7" s="1567">
        <f>3609+888+36+14860</f>
        <v>19393</v>
      </c>
      <c r="E7" s="1567">
        <v>858</v>
      </c>
      <c r="F7" s="1567">
        <v>2921</v>
      </c>
      <c r="G7" s="1567">
        <v>1739</v>
      </c>
      <c r="H7" s="1567"/>
      <c r="I7" s="1567"/>
      <c r="J7" s="1567"/>
      <c r="K7" s="1665">
        <f t="shared" ref="K7:K32" si="0">SUM(C7:J7)</f>
        <v>87760</v>
      </c>
      <c r="L7" s="1566">
        <v>95864</v>
      </c>
    </row>
    <row r="8" spans="1:14" x14ac:dyDescent="0.2">
      <c r="A8" s="1267" t="s">
        <v>163</v>
      </c>
      <c r="B8" s="503">
        <v>1200</v>
      </c>
      <c r="C8" s="1566">
        <f>44075+50943+23613+36406+46661+34951+2399+753+725+675+1159+735+45361+647</f>
        <v>289103</v>
      </c>
      <c r="D8" s="1566">
        <f>20281+5461+135+28296+3404+1039+4+18+6250</f>
        <v>64888</v>
      </c>
      <c r="E8" s="1566">
        <f>2369+214+255+344</f>
        <v>3182</v>
      </c>
      <c r="F8" s="1566">
        <f>78+548+186+1522+841+298+88</f>
        <v>3561</v>
      </c>
      <c r="G8" s="1566"/>
      <c r="H8" s="1566"/>
      <c r="I8" s="1567"/>
      <c r="J8" s="1567"/>
      <c r="K8" s="1665">
        <f t="shared" si="0"/>
        <v>360734</v>
      </c>
      <c r="L8" s="1566">
        <v>378005</v>
      </c>
    </row>
    <row r="9" spans="1:14" x14ac:dyDescent="0.2">
      <c r="A9" s="1267" t="s">
        <v>716</v>
      </c>
      <c r="B9" s="503" t="s">
        <v>962</v>
      </c>
      <c r="C9" s="1567"/>
      <c r="D9" s="1567"/>
      <c r="E9" s="1567"/>
      <c r="F9" s="1567"/>
      <c r="G9" s="1567"/>
      <c r="H9" s="1567"/>
      <c r="I9" s="1567"/>
      <c r="J9" s="1567"/>
      <c r="K9" s="1665">
        <f t="shared" si="0"/>
        <v>0</v>
      </c>
      <c r="L9" s="1566">
        <v>2000</v>
      </c>
    </row>
    <row r="10" spans="1:14" x14ac:dyDescent="0.2">
      <c r="A10" s="1267" t="s">
        <v>717</v>
      </c>
      <c r="B10" s="503">
        <v>1250</v>
      </c>
      <c r="C10" s="1566">
        <f>39853+44764</f>
        <v>84617</v>
      </c>
      <c r="D10" s="1566">
        <f>76+21111</f>
        <v>21187</v>
      </c>
      <c r="E10" s="1566">
        <f>3359</f>
        <v>3359</v>
      </c>
      <c r="F10" s="1566">
        <f>9555</f>
        <v>9555</v>
      </c>
      <c r="G10" s="1566">
        <f>7118</f>
        <v>7118</v>
      </c>
      <c r="H10" s="1566"/>
      <c r="I10" s="1567"/>
      <c r="J10" s="1567"/>
      <c r="K10" s="1665">
        <f t="shared" si="0"/>
        <v>125836</v>
      </c>
      <c r="L10" s="1566">
        <v>119065</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f>41085+10106+38198+38486</f>
        <v>127875</v>
      </c>
      <c r="D13" s="1566">
        <f>4402+1340+18+7430+3164+963+18+7430+3199+974+18+7430</f>
        <v>36386</v>
      </c>
      <c r="E13" s="1566">
        <f>4979</f>
        <v>4979</v>
      </c>
      <c r="F13" s="1566">
        <f>2983+399+2418+4023+474</f>
        <v>10297</v>
      </c>
      <c r="G13" s="1566">
        <f>694</f>
        <v>694</v>
      </c>
      <c r="H13" s="1566"/>
      <c r="I13" s="1567"/>
      <c r="J13" s="1567"/>
      <c r="K13" s="1665">
        <f t="shared" si="0"/>
        <v>180231</v>
      </c>
      <c r="L13" s="1566">
        <v>170478</v>
      </c>
    </row>
    <row r="14" spans="1:14" x14ac:dyDescent="0.2">
      <c r="A14" s="1267" t="s">
        <v>957</v>
      </c>
      <c r="B14" s="503">
        <v>1500</v>
      </c>
      <c r="C14" s="1566">
        <f>2180+4281+2684+390+20+1677+4641+1342+335+860+1677</f>
        <v>20087</v>
      </c>
      <c r="D14" s="1566">
        <f>100+80+83+14+17+3</f>
        <v>297</v>
      </c>
      <c r="E14" s="1566">
        <f>280+10101+225+8601+4122+9740+3136+3070+1312+1294+216+3084</f>
        <v>45181</v>
      </c>
      <c r="F14" s="1566">
        <f>1134+50+68+1769+1113+107+1368</f>
        <v>5609</v>
      </c>
      <c r="G14" s="1566"/>
      <c r="H14" s="1566">
        <v>385</v>
      </c>
      <c r="I14" s="1567"/>
      <c r="J14" s="1567"/>
      <c r="K14" s="1665">
        <f t="shared" si="0"/>
        <v>71559</v>
      </c>
      <c r="L14" s="1566">
        <v>72923</v>
      </c>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v>1006</v>
      </c>
      <c r="D16" s="1566"/>
      <c r="E16" s="1566">
        <f>1375</f>
        <v>1375</v>
      </c>
      <c r="F16" s="1566"/>
      <c r="G16" s="1566"/>
      <c r="H16" s="1566"/>
      <c r="I16" s="1567"/>
      <c r="J16" s="1567"/>
      <c r="K16" s="1665">
        <f t="shared" si="0"/>
        <v>2381</v>
      </c>
      <c r="L16" s="1566">
        <v>2655</v>
      </c>
    </row>
    <row r="17" spans="1:12" x14ac:dyDescent="0.2">
      <c r="A17" s="1267" t="s">
        <v>719</v>
      </c>
      <c r="B17" s="503" t="s">
        <v>161</v>
      </c>
      <c r="C17" s="1567">
        <v>23428</v>
      </c>
      <c r="D17" s="1567">
        <f>1940+591+15+6180</f>
        <v>8726</v>
      </c>
      <c r="E17" s="1567">
        <v>2535</v>
      </c>
      <c r="F17" s="1567"/>
      <c r="G17" s="1567"/>
      <c r="H17" s="1567"/>
      <c r="I17" s="1567"/>
      <c r="J17" s="1567"/>
      <c r="K17" s="1665">
        <f t="shared" si="0"/>
        <v>34689</v>
      </c>
      <c r="L17" s="1566">
        <v>38050</v>
      </c>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v>89484</v>
      </c>
      <c r="I22" s="1666"/>
      <c r="J22" s="1575"/>
      <c r="K22" s="1665">
        <f t="shared" si="0"/>
        <v>89484</v>
      </c>
      <c r="L22" s="1570">
        <v>87500</v>
      </c>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1734043</v>
      </c>
      <c r="D33" s="1667">
        <f t="shared" ref="D33:L33" si="1">SUM(D5:D32)</f>
        <v>448537</v>
      </c>
      <c r="E33" s="1667">
        <f t="shared" si="1"/>
        <v>95838</v>
      </c>
      <c r="F33" s="1667">
        <f t="shared" si="1"/>
        <v>69694</v>
      </c>
      <c r="G33" s="1667">
        <f t="shared" si="1"/>
        <v>9551</v>
      </c>
      <c r="H33" s="1667">
        <f t="shared" si="1"/>
        <v>89869</v>
      </c>
      <c r="I33" s="1667">
        <f t="shared" si="1"/>
        <v>0</v>
      </c>
      <c r="J33" s="1667">
        <f t="shared" si="1"/>
        <v>0</v>
      </c>
      <c r="K33" s="1667">
        <f t="shared" si="1"/>
        <v>2447532</v>
      </c>
      <c r="L33" s="1667">
        <f t="shared" si="1"/>
        <v>2490485</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row>
    <row r="37" spans="1:14" x14ac:dyDescent="0.2">
      <c r="A37" s="1267" t="s">
        <v>1083</v>
      </c>
      <c r="B37" s="503">
        <v>2120</v>
      </c>
      <c r="C37" s="1566">
        <v>40334</v>
      </c>
      <c r="D37" s="1566">
        <f>3404+755+18+7430</f>
        <v>11607</v>
      </c>
      <c r="E37" s="1566">
        <v>95</v>
      </c>
      <c r="F37" s="1566">
        <v>311</v>
      </c>
      <c r="G37" s="1566"/>
      <c r="H37" s="1566"/>
      <c r="I37" s="1567"/>
      <c r="J37" s="1567"/>
      <c r="K37" s="1665">
        <f t="shared" si="2"/>
        <v>52347</v>
      </c>
      <c r="L37" s="1566">
        <v>53475</v>
      </c>
    </row>
    <row r="38" spans="1:14" x14ac:dyDescent="0.2">
      <c r="A38" s="1267" t="s">
        <v>196</v>
      </c>
      <c r="B38" s="503">
        <v>2130</v>
      </c>
      <c r="C38" s="1566">
        <f>46589+472</f>
        <v>47061</v>
      </c>
      <c r="D38" s="1566">
        <f>3860+643+18</f>
        <v>4521</v>
      </c>
      <c r="E38" s="1566">
        <v>79</v>
      </c>
      <c r="F38" s="1566">
        <v>945</v>
      </c>
      <c r="G38" s="1566"/>
      <c r="H38" s="1566"/>
      <c r="I38" s="1567"/>
      <c r="J38" s="1567"/>
      <c r="K38" s="1665">
        <f t="shared" si="2"/>
        <v>52606</v>
      </c>
      <c r="L38" s="1566">
        <v>54930</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v>56216</v>
      </c>
      <c r="D40" s="1566">
        <v>18</v>
      </c>
      <c r="E40" s="1566">
        <v>25</v>
      </c>
      <c r="F40" s="1566">
        <v>170</v>
      </c>
      <c r="G40" s="1566"/>
      <c r="H40" s="1566"/>
      <c r="I40" s="1567"/>
      <c r="J40" s="1567"/>
      <c r="K40" s="1665">
        <f t="shared" si="2"/>
        <v>56429</v>
      </c>
      <c r="L40" s="1566">
        <v>59520</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143611</v>
      </c>
      <c r="D42" s="1667">
        <f t="shared" ref="D42:L42" si="3">SUM(D36:D41)</f>
        <v>16146</v>
      </c>
      <c r="E42" s="1667">
        <f t="shared" si="3"/>
        <v>199</v>
      </c>
      <c r="F42" s="1667">
        <f t="shared" si="3"/>
        <v>1426</v>
      </c>
      <c r="G42" s="1667">
        <f t="shared" si="3"/>
        <v>0</v>
      </c>
      <c r="H42" s="1667">
        <f t="shared" si="3"/>
        <v>0</v>
      </c>
      <c r="I42" s="1667">
        <f t="shared" si="3"/>
        <v>0</v>
      </c>
      <c r="J42" s="1667">
        <f t="shared" si="3"/>
        <v>0</v>
      </c>
      <c r="K42" s="1667">
        <f t="shared" si="3"/>
        <v>161382</v>
      </c>
      <c r="L42" s="1667">
        <f t="shared" si="3"/>
        <v>167925</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f>1213+2160</f>
        <v>3373</v>
      </c>
      <c r="D44" s="1579"/>
      <c r="E44" s="1579">
        <f>18917+2178+3887+11946</f>
        <v>36928</v>
      </c>
      <c r="F44" s="1579">
        <v>1600</v>
      </c>
      <c r="G44" s="1579"/>
      <c r="H44" s="1579"/>
      <c r="I44" s="1567"/>
      <c r="J44" s="1567"/>
      <c r="K44" s="1671">
        <f>SUM(C44:J44)</f>
        <v>41901</v>
      </c>
      <c r="L44" s="1579">
        <v>8411</v>
      </c>
    </row>
    <row r="45" spans="1:14" x14ac:dyDescent="0.2">
      <c r="A45" s="1267" t="s">
        <v>810</v>
      </c>
      <c r="B45" s="503">
        <v>2220</v>
      </c>
      <c r="C45" s="1566">
        <f>36560+37500</f>
        <v>74060</v>
      </c>
      <c r="D45" s="1566">
        <f>4088+922+18+15+12265</f>
        <v>17308</v>
      </c>
      <c r="E45" s="1566">
        <f>11269+6300+4279</f>
        <v>21848</v>
      </c>
      <c r="F45" s="1566">
        <f>166+747+394+10548</f>
        <v>11855</v>
      </c>
      <c r="G45" s="1566">
        <v>35421</v>
      </c>
      <c r="H45" s="1566">
        <f>1620</f>
        <v>1620</v>
      </c>
      <c r="I45" s="1567"/>
      <c r="J45" s="1567"/>
      <c r="K45" s="1671">
        <f>SUM(C45:J45)</f>
        <v>162112</v>
      </c>
      <c r="L45" s="1566">
        <v>192302</v>
      </c>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77433</v>
      </c>
      <c r="D47" s="1667">
        <f t="shared" ref="D47:K47" si="4">SUM(D44:D46)</f>
        <v>17308</v>
      </c>
      <c r="E47" s="1667">
        <f t="shared" si="4"/>
        <v>58776</v>
      </c>
      <c r="F47" s="1667">
        <f t="shared" si="4"/>
        <v>13455</v>
      </c>
      <c r="G47" s="1667">
        <f t="shared" si="4"/>
        <v>35421</v>
      </c>
      <c r="H47" s="1667">
        <f t="shared" si="4"/>
        <v>1620</v>
      </c>
      <c r="I47" s="1667">
        <f t="shared" si="4"/>
        <v>0</v>
      </c>
      <c r="J47" s="1667">
        <f t="shared" si="4"/>
        <v>0</v>
      </c>
      <c r="K47" s="1667">
        <f t="shared" si="4"/>
        <v>204013</v>
      </c>
      <c r="L47" s="1667">
        <f>SUM(L44:L46)</f>
        <v>200713</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f>3413</f>
        <v>3413</v>
      </c>
      <c r="D49" s="1579">
        <f>2+762</f>
        <v>764</v>
      </c>
      <c r="E49" s="1579">
        <f>5777+250+7115+7313+1513+375</f>
        <v>22343</v>
      </c>
      <c r="F49" s="1579">
        <v>5062</v>
      </c>
      <c r="G49" s="1579"/>
      <c r="H49" s="1579">
        <v>2367</v>
      </c>
      <c r="I49" s="1567"/>
      <c r="J49" s="1567"/>
      <c r="K49" s="1671">
        <f>SUM(C49:J49)</f>
        <v>33949</v>
      </c>
      <c r="L49" s="1579">
        <v>35850</v>
      </c>
    </row>
    <row r="50" spans="1:14" x14ac:dyDescent="0.2">
      <c r="A50" s="1267" t="s">
        <v>813</v>
      </c>
      <c r="B50" s="503">
        <v>2320</v>
      </c>
      <c r="C50" s="1566">
        <f>69289+35715</f>
        <v>105004</v>
      </c>
      <c r="D50" s="1566">
        <f>6853+442+1645+18+17146</f>
        <v>26104</v>
      </c>
      <c r="E50" s="1566">
        <v>83</v>
      </c>
      <c r="F50" s="1566">
        <v>94</v>
      </c>
      <c r="G50" s="1566"/>
      <c r="H50" s="1566">
        <v>1152</v>
      </c>
      <c r="I50" s="1567"/>
      <c r="J50" s="1567"/>
      <c r="K50" s="1671">
        <f>SUM(C50:J50)</f>
        <v>132437</v>
      </c>
      <c r="L50" s="1566">
        <v>134620</v>
      </c>
    </row>
    <row r="51" spans="1:14" x14ac:dyDescent="0.2">
      <c r="A51" s="1267" t="s">
        <v>42</v>
      </c>
      <c r="B51" s="503">
        <v>2330</v>
      </c>
      <c r="C51" s="1566">
        <v>1500</v>
      </c>
      <c r="D51" s="1566">
        <f>162+12</f>
        <v>174</v>
      </c>
      <c r="E51" s="1566">
        <v>2000</v>
      </c>
      <c r="F51" s="1566">
        <v>2981</v>
      </c>
      <c r="G51" s="1566"/>
      <c r="H51" s="1566"/>
      <c r="I51" s="1567"/>
      <c r="J51" s="1567"/>
      <c r="K51" s="1671">
        <f>SUM(C51:J51)</f>
        <v>6655</v>
      </c>
      <c r="L51" s="1566">
        <v>4500</v>
      </c>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109917</v>
      </c>
      <c r="D53" s="1667">
        <f t="shared" ref="D53:L53" si="5">SUM(D49:D52)</f>
        <v>27042</v>
      </c>
      <c r="E53" s="1667">
        <f t="shared" si="5"/>
        <v>24426</v>
      </c>
      <c r="F53" s="1667">
        <f t="shared" si="5"/>
        <v>8137</v>
      </c>
      <c r="G53" s="1667">
        <f t="shared" si="5"/>
        <v>0</v>
      </c>
      <c r="H53" s="1667">
        <f t="shared" si="5"/>
        <v>3519</v>
      </c>
      <c r="I53" s="1667">
        <f t="shared" si="5"/>
        <v>0</v>
      </c>
      <c r="J53" s="1667">
        <f t="shared" si="5"/>
        <v>0</v>
      </c>
      <c r="K53" s="1667">
        <f t="shared" si="5"/>
        <v>173041</v>
      </c>
      <c r="L53" s="1667">
        <f t="shared" si="5"/>
        <v>174970</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f>81391+25596+21695+57720</f>
        <v>186402</v>
      </c>
      <c r="D55" s="1579">
        <f>5708+8050+368+519+1370+1932+18+18+35+24530+7430+16657</f>
        <v>66635</v>
      </c>
      <c r="E55" s="1579">
        <v>597</v>
      </c>
      <c r="F55" s="1579">
        <f>28+567</f>
        <v>595</v>
      </c>
      <c r="G55" s="1579"/>
      <c r="H55" s="1579">
        <f>290+318</f>
        <v>608</v>
      </c>
      <c r="I55" s="1567"/>
      <c r="J55" s="1567"/>
      <c r="K55" s="1671">
        <f>SUM(C55:J55)</f>
        <v>254837</v>
      </c>
      <c r="L55" s="1579">
        <v>249918</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186402</v>
      </c>
      <c r="D57" s="1672">
        <f t="shared" ref="D57:K57" si="6">SUM(D55:D56)</f>
        <v>66635</v>
      </c>
      <c r="E57" s="1672">
        <f t="shared" si="6"/>
        <v>597</v>
      </c>
      <c r="F57" s="1672">
        <f t="shared" si="6"/>
        <v>595</v>
      </c>
      <c r="G57" s="1672">
        <f t="shared" si="6"/>
        <v>0</v>
      </c>
      <c r="H57" s="1672">
        <f t="shared" si="6"/>
        <v>608</v>
      </c>
      <c r="I57" s="1672">
        <f t="shared" si="6"/>
        <v>0</v>
      </c>
      <c r="J57" s="1672">
        <f t="shared" si="6"/>
        <v>0</v>
      </c>
      <c r="K57" s="1672">
        <f t="shared" si="6"/>
        <v>254837</v>
      </c>
      <c r="L57" s="1667">
        <f>SUM(L55:L56)</f>
        <v>249918</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37500</v>
      </c>
      <c r="D60" s="1566">
        <f>12265+2130</f>
        <v>14395</v>
      </c>
      <c r="E60" s="1566"/>
      <c r="F60" s="1566">
        <v>573</v>
      </c>
      <c r="G60" s="1566"/>
      <c r="H60" s="1566">
        <v>6589</v>
      </c>
      <c r="I60" s="1567"/>
      <c r="J60" s="1567"/>
      <c r="K60" s="1671">
        <f t="shared" si="7"/>
        <v>59057</v>
      </c>
      <c r="L60" s="1566">
        <v>57000</v>
      </c>
      <c r="M60" s="501"/>
      <c r="N60" s="501"/>
    </row>
    <row r="61" spans="1:14" s="321" customFormat="1" x14ac:dyDescent="0.2">
      <c r="A61" s="1267" t="s">
        <v>195</v>
      </c>
      <c r="B61" s="503">
        <v>2540</v>
      </c>
      <c r="C61" s="1566"/>
      <c r="D61" s="1566"/>
      <c r="E61" s="1566">
        <f>2425+33002-1</f>
        <v>35426</v>
      </c>
      <c r="F61" s="1566"/>
      <c r="G61" s="1566">
        <v>7300</v>
      </c>
      <c r="H61" s="1566"/>
      <c r="I61" s="1567"/>
      <c r="J61" s="1567"/>
      <c r="K61" s="1671">
        <f t="shared" si="7"/>
        <v>42726</v>
      </c>
      <c r="L61" s="1566">
        <v>35000</v>
      </c>
      <c r="M61" s="501"/>
      <c r="N61" s="501"/>
    </row>
    <row r="62" spans="1:14" s="321" customFormat="1" x14ac:dyDescent="0.2">
      <c r="A62" s="1267" t="s">
        <v>947</v>
      </c>
      <c r="B62" s="503">
        <v>2550</v>
      </c>
      <c r="C62" s="1566"/>
      <c r="D62" s="1566"/>
      <c r="E62" s="1566">
        <v>126</v>
      </c>
      <c r="F62" s="1566"/>
      <c r="G62" s="1566"/>
      <c r="H62" s="1566"/>
      <c r="I62" s="1567"/>
      <c r="J62" s="1567"/>
      <c r="K62" s="1671">
        <f t="shared" si="7"/>
        <v>126</v>
      </c>
      <c r="L62" s="1566">
        <v>1200</v>
      </c>
      <c r="M62" s="501"/>
      <c r="N62" s="501"/>
    </row>
    <row r="63" spans="1:14" s="501" customFormat="1" x14ac:dyDescent="0.2">
      <c r="A63" s="1267" t="s">
        <v>100</v>
      </c>
      <c r="B63" s="503">
        <v>2560</v>
      </c>
      <c r="C63" s="1566">
        <v>69027</v>
      </c>
      <c r="D63" s="1566">
        <f>324+57+12048</f>
        <v>12429</v>
      </c>
      <c r="E63" s="1566">
        <v>1234</v>
      </c>
      <c r="F63" s="1566">
        <f>114897+719</f>
        <v>115616</v>
      </c>
      <c r="G63" s="1566"/>
      <c r="H63" s="1566">
        <v>5406</v>
      </c>
      <c r="I63" s="1567"/>
      <c r="J63" s="1567"/>
      <c r="K63" s="1671">
        <f t="shared" si="7"/>
        <v>203712</v>
      </c>
      <c r="L63" s="1566">
        <v>232215</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106527</v>
      </c>
      <c r="D65" s="1667">
        <f t="shared" ref="D65:L65" si="8">SUM(D59:D64)</f>
        <v>26824</v>
      </c>
      <c r="E65" s="1667">
        <f t="shared" si="8"/>
        <v>36786</v>
      </c>
      <c r="F65" s="1667">
        <f t="shared" si="8"/>
        <v>116189</v>
      </c>
      <c r="G65" s="1667">
        <f t="shared" si="8"/>
        <v>7300</v>
      </c>
      <c r="H65" s="1667">
        <f t="shared" si="8"/>
        <v>11995</v>
      </c>
      <c r="I65" s="1667">
        <f t="shared" si="8"/>
        <v>0</v>
      </c>
      <c r="J65" s="1667">
        <f t="shared" si="8"/>
        <v>0</v>
      </c>
      <c r="K65" s="1667">
        <f t="shared" si="8"/>
        <v>305621</v>
      </c>
      <c r="L65" s="1667">
        <f t="shared" si="8"/>
        <v>325415</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623890</v>
      </c>
      <c r="D74" s="1674">
        <f t="shared" ref="D74:K74" si="10">SUM(D42,D47,D53,D57,D65,D72,D73)</f>
        <v>153955</v>
      </c>
      <c r="E74" s="1674">
        <f t="shared" si="10"/>
        <v>120784</v>
      </c>
      <c r="F74" s="1674">
        <f t="shared" si="10"/>
        <v>139802</v>
      </c>
      <c r="G74" s="1674">
        <f t="shared" si="10"/>
        <v>42721</v>
      </c>
      <c r="H74" s="1674">
        <f t="shared" si="10"/>
        <v>17742</v>
      </c>
      <c r="I74" s="1674">
        <f t="shared" si="10"/>
        <v>0</v>
      </c>
      <c r="J74" s="1674">
        <f t="shared" si="10"/>
        <v>0</v>
      </c>
      <c r="K74" s="1674">
        <f t="shared" si="10"/>
        <v>1098894</v>
      </c>
      <c r="L74" s="1674">
        <f>SUM(L42,L47,L53,L57,L65,L72,L73)</f>
        <v>1118941</v>
      </c>
    </row>
    <row r="75" spans="1:14" s="254" customFormat="1" ht="15.75" customHeight="1" thickTop="1" thickBot="1" x14ac:dyDescent="0.25">
      <c r="A75" s="1341" t="s">
        <v>47</v>
      </c>
      <c r="B75" s="1342" t="s">
        <v>571</v>
      </c>
      <c r="C75" s="1642">
        <f>121594+17251</f>
        <v>138845</v>
      </c>
      <c r="D75" s="1642">
        <f>1+61+18+7430</f>
        <v>7510</v>
      </c>
      <c r="E75" s="1642">
        <f>11442+2104</f>
        <v>13546</v>
      </c>
      <c r="F75" s="1642">
        <f>17437+4034+48</f>
        <v>21519</v>
      </c>
      <c r="G75" s="1642">
        <f>6362+1200</f>
        <v>7562</v>
      </c>
      <c r="H75" s="1642"/>
      <c r="I75" s="1620"/>
      <c r="J75" s="1620"/>
      <c r="K75" s="1667">
        <f>SUM(C75:J75)</f>
        <v>188982</v>
      </c>
      <c r="L75" s="1644">
        <v>191507</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v>21406</v>
      </c>
      <c r="F78" s="1666"/>
      <c r="G78" s="1666"/>
      <c r="H78" s="1675"/>
      <c r="I78" s="1575"/>
      <c r="J78" s="1575"/>
      <c r="K78" s="1665">
        <f t="shared" ref="K78:K83" si="11">SUM(C78:J78)</f>
        <v>21406</v>
      </c>
      <c r="L78" s="1579">
        <v>22000</v>
      </c>
    </row>
    <row r="79" spans="1:14" x14ac:dyDescent="0.2">
      <c r="A79" s="1267" t="s">
        <v>301</v>
      </c>
      <c r="B79" s="503">
        <v>4120</v>
      </c>
      <c r="C79" s="1666"/>
      <c r="D79" s="1666"/>
      <c r="E79" s="1566"/>
      <c r="F79" s="1666"/>
      <c r="G79" s="1666"/>
      <c r="H79" s="1566">
        <v>71496</v>
      </c>
      <c r="I79" s="1575"/>
      <c r="J79" s="1575"/>
      <c r="K79" s="1665">
        <f t="shared" si="11"/>
        <v>71496</v>
      </c>
      <c r="L79" s="1566">
        <v>69000</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21406</v>
      </c>
      <c r="F84" s="1666"/>
      <c r="G84" s="1666"/>
      <c r="H84" s="1667">
        <f>SUM(H78:H83)</f>
        <v>71496</v>
      </c>
      <c r="I84" s="1575"/>
      <c r="J84" s="1575"/>
      <c r="K84" s="1667">
        <f>SUM(K78:K83)</f>
        <v>92902</v>
      </c>
      <c r="L84" s="1667">
        <f>SUM(L78:L83)</f>
        <v>91000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c r="I86" s="1575"/>
      <c r="J86" s="1575"/>
      <c r="K86" s="1674">
        <f t="shared" ref="K86:K98" si="12">H86</f>
        <v>0</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0</v>
      </c>
      <c r="I92" s="1575"/>
      <c r="J92" s="1575"/>
      <c r="K92" s="1674">
        <f t="shared" si="12"/>
        <v>0</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21406</v>
      </c>
      <c r="F102" s="1666"/>
      <c r="G102" s="1666"/>
      <c r="H102" s="1674">
        <f>SUM(H84,H92,H100,H101)</f>
        <v>71496</v>
      </c>
      <c r="I102" s="1575"/>
      <c r="J102" s="1575"/>
      <c r="K102" s="1674">
        <f>SUM(K84,K92,K100,K101)</f>
        <v>92902</v>
      </c>
      <c r="L102" s="1674">
        <f>SUM(L84,L92,L100,L101)</f>
        <v>91000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2496778</v>
      </c>
      <c r="D114" s="1667">
        <f t="shared" ref="D114:K114" si="13">SUM(D33,D74,D75,D102,D112,D113)</f>
        <v>610002</v>
      </c>
      <c r="E114" s="1667">
        <f t="shared" si="13"/>
        <v>251574</v>
      </c>
      <c r="F114" s="1667">
        <f t="shared" si="13"/>
        <v>231015</v>
      </c>
      <c r="G114" s="1667">
        <f t="shared" si="13"/>
        <v>59834</v>
      </c>
      <c r="H114" s="1667">
        <f>SUM(H33,H74,H75,H102,H112,H113)</f>
        <v>179107</v>
      </c>
      <c r="I114" s="1667">
        <f t="shared" si="13"/>
        <v>0</v>
      </c>
      <c r="J114" s="1667">
        <f t="shared" si="13"/>
        <v>0</v>
      </c>
      <c r="K114" s="1667">
        <f t="shared" si="13"/>
        <v>3828310</v>
      </c>
      <c r="L114" s="1667">
        <f>SUM(L33,L74,L75,L102,L112,L113)</f>
        <v>3891933</v>
      </c>
    </row>
    <row r="115" spans="1:14" ht="13.5" thickTop="1" x14ac:dyDescent="0.2">
      <c r="A115" s="2276" t="s">
        <v>989</v>
      </c>
      <c r="B115" s="2277"/>
      <c r="C115" s="1668"/>
      <c r="D115" s="1668"/>
      <c r="E115" s="1668"/>
      <c r="F115" s="1668"/>
      <c r="G115" s="1668"/>
      <c r="H115" s="1668"/>
      <c r="I115" s="1668"/>
      <c r="J115" s="1668"/>
      <c r="K115" s="1682">
        <f>'Revenues 9-14'!C268-'Expenditures 15-22'!K114</f>
        <v>22360</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54" t="s">
        <v>293</v>
      </c>
      <c r="B117" s="2255"/>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f>100779+993+5085</f>
        <v>106857</v>
      </c>
      <c r="D124" s="1566">
        <f>2+55+625+22561</f>
        <v>23243</v>
      </c>
      <c r="E124" s="1566">
        <f>16818+5363</f>
        <v>22181</v>
      </c>
      <c r="F124" s="1566">
        <f>32255+20846+31664</f>
        <v>84765</v>
      </c>
      <c r="G124" s="1566">
        <f>32204+8944</f>
        <v>41148</v>
      </c>
      <c r="H124" s="1566"/>
      <c r="I124" s="1567"/>
      <c r="J124" s="1567"/>
      <c r="K124" s="1667">
        <f>SUM(C124:J124)</f>
        <v>278194</v>
      </c>
      <c r="L124" s="1566">
        <v>274575</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106857</v>
      </c>
      <c r="D127" s="1667">
        <f t="shared" ref="D127:L127" si="14">SUM(D122:D126)</f>
        <v>23243</v>
      </c>
      <c r="E127" s="1667">
        <f t="shared" si="14"/>
        <v>22181</v>
      </c>
      <c r="F127" s="1667">
        <f t="shared" si="14"/>
        <v>84765</v>
      </c>
      <c r="G127" s="1667">
        <f t="shared" si="14"/>
        <v>41148</v>
      </c>
      <c r="H127" s="1667">
        <f t="shared" si="14"/>
        <v>0</v>
      </c>
      <c r="I127" s="1667">
        <f t="shared" si="14"/>
        <v>0</v>
      </c>
      <c r="J127" s="1667">
        <f t="shared" si="14"/>
        <v>0</v>
      </c>
      <c r="K127" s="1667">
        <f t="shared" si="14"/>
        <v>278194</v>
      </c>
      <c r="L127" s="1667">
        <f t="shared" si="14"/>
        <v>274575</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106857</v>
      </c>
      <c r="D129" s="1674">
        <f t="shared" ref="D129:L129" si="15">SUM(D120,D127,D128)</f>
        <v>23243</v>
      </c>
      <c r="E129" s="1674">
        <f t="shared" si="15"/>
        <v>22181</v>
      </c>
      <c r="F129" s="1674">
        <f t="shared" si="15"/>
        <v>84765</v>
      </c>
      <c r="G129" s="1674">
        <f t="shared" si="15"/>
        <v>41148</v>
      </c>
      <c r="H129" s="1674">
        <f t="shared" si="15"/>
        <v>0</v>
      </c>
      <c r="I129" s="1674">
        <f t="shared" si="15"/>
        <v>0</v>
      </c>
      <c r="J129" s="1674">
        <f t="shared" si="15"/>
        <v>0</v>
      </c>
      <c r="K129" s="1674">
        <f t="shared" si="15"/>
        <v>278194</v>
      </c>
      <c r="L129" s="1674">
        <f t="shared" si="15"/>
        <v>274575</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66" t="s">
        <v>616</v>
      </c>
      <c r="B151" s="2248"/>
      <c r="C151" s="1667">
        <f>SUM(C129,C130,C139,C149,C150)</f>
        <v>106857</v>
      </c>
      <c r="D151" s="1667">
        <f t="shared" ref="D151:K151" si="16">SUM(D129,D130,D139,D149,D150)</f>
        <v>23243</v>
      </c>
      <c r="E151" s="1667">
        <f t="shared" si="16"/>
        <v>22181</v>
      </c>
      <c r="F151" s="1667">
        <f t="shared" si="16"/>
        <v>84765</v>
      </c>
      <c r="G151" s="1667">
        <f t="shared" si="16"/>
        <v>41148</v>
      </c>
      <c r="H151" s="1667">
        <f t="shared" si="16"/>
        <v>0</v>
      </c>
      <c r="I151" s="1667">
        <f t="shared" si="16"/>
        <v>0</v>
      </c>
      <c r="J151" s="1667">
        <f t="shared" si="16"/>
        <v>0</v>
      </c>
      <c r="K151" s="1667">
        <f t="shared" si="16"/>
        <v>278194</v>
      </c>
      <c r="L151" s="1667">
        <f>SUM(L129,L130,L139,L149,L150)</f>
        <v>274575</v>
      </c>
    </row>
    <row r="152" spans="1:14" ht="12.75" customHeight="1" thickTop="1" x14ac:dyDescent="0.2">
      <c r="A152" s="2269" t="s">
        <v>1170</v>
      </c>
      <c r="B152" s="2270"/>
      <c r="C152" s="1668"/>
      <c r="D152" s="1668"/>
      <c r="E152" s="1668"/>
      <c r="F152" s="1668"/>
      <c r="G152" s="1668"/>
      <c r="H152" s="1668"/>
      <c r="I152" s="1668"/>
      <c r="J152" s="1666"/>
      <c r="K152" s="1682">
        <f>'Revenues 9-14'!D268-'Expenditures 15-22'!K151</f>
        <v>15139</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54" t="s">
        <v>617</v>
      </c>
      <c r="B154" s="2256"/>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13712</v>
      </c>
      <c r="I169" s="1666"/>
      <c r="J169" s="1666"/>
      <c r="K169" s="1665">
        <f>SUM(C169:H169)</f>
        <v>13712</v>
      </c>
      <c r="L169" s="1688">
        <v>13969</v>
      </c>
    </row>
    <row r="170" spans="1:14" ht="33.75" customHeight="1" x14ac:dyDescent="0.2">
      <c r="A170" s="543" t="s">
        <v>1654</v>
      </c>
      <c r="B170" s="545" t="s">
        <v>31</v>
      </c>
      <c r="C170" s="1666"/>
      <c r="D170" s="1666"/>
      <c r="E170" s="1666"/>
      <c r="F170" s="1666"/>
      <c r="G170" s="1666"/>
      <c r="H170" s="1639">
        <v>95000</v>
      </c>
      <c r="I170" s="1666"/>
      <c r="J170" s="1666"/>
      <c r="K170" s="1665">
        <f>SUM(C170:J170)</f>
        <v>95000</v>
      </c>
      <c r="L170" s="1639">
        <v>95000</v>
      </c>
    </row>
    <row r="171" spans="1:14" ht="15.75" customHeight="1" x14ac:dyDescent="0.2">
      <c r="A171" s="507" t="s">
        <v>761</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108712</v>
      </c>
      <c r="I172" s="1677"/>
      <c r="J172" s="1666"/>
      <c r="K172" s="1674">
        <f>SUM(K168,K169,K170,K171)</f>
        <v>108712</v>
      </c>
      <c r="L172" s="1674">
        <f>SUM(L168,L169,L170,L171)</f>
        <v>108969</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108712</v>
      </c>
      <c r="I174" s="1677"/>
      <c r="J174" s="1666"/>
      <c r="K174" s="1674">
        <f>SUM(K160,K172,K173)</f>
        <v>108712</v>
      </c>
      <c r="L174" s="1674">
        <f>SUM(L160,L172,L173)</f>
        <v>108969</v>
      </c>
    </row>
    <row r="175" spans="1:14" ht="13.5" thickTop="1" x14ac:dyDescent="0.2">
      <c r="A175" s="2276" t="s">
        <v>989</v>
      </c>
      <c r="B175" s="2277"/>
      <c r="C175" s="1666"/>
      <c r="D175" s="1666"/>
      <c r="E175" s="1666"/>
      <c r="F175" s="1666"/>
      <c r="G175" s="1666"/>
      <c r="H175" s="1668"/>
      <c r="I175" s="1666"/>
      <c r="J175" s="1666"/>
      <c r="K175" s="1682">
        <f>'Revenues 9-14'!E268-'Expenditures 15-22'!K174</f>
        <v>-75</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f>122894+13619+3196+51655</f>
        <v>191364</v>
      </c>
      <c r="D182" s="1566">
        <f>6035+120+28551-2</f>
        <v>34704</v>
      </c>
      <c r="E182" s="1566">
        <f>27357+2315</f>
        <v>29672</v>
      </c>
      <c r="F182" s="1566">
        <f>8027+1880+31989</f>
        <v>41896</v>
      </c>
      <c r="G182" s="1566">
        <f>63682</f>
        <v>63682</v>
      </c>
      <c r="H182" s="1566"/>
      <c r="I182" s="1567"/>
      <c r="J182" s="1567"/>
      <c r="K182" s="1665">
        <f>SUM(C182:J182)</f>
        <v>361318</v>
      </c>
      <c r="L182" s="1566">
        <v>375970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191364</v>
      </c>
      <c r="D184" s="1674">
        <f t="shared" ref="D184:J184" si="17">SUM(D180,D182,D183)</f>
        <v>34704</v>
      </c>
      <c r="E184" s="1674">
        <f t="shared" si="17"/>
        <v>29672</v>
      </c>
      <c r="F184" s="1674">
        <f t="shared" si="17"/>
        <v>41896</v>
      </c>
      <c r="G184" s="1674">
        <f t="shared" si="17"/>
        <v>63682</v>
      </c>
      <c r="H184" s="1674">
        <f t="shared" si="17"/>
        <v>0</v>
      </c>
      <c r="I184" s="1674">
        <f t="shared" si="17"/>
        <v>0</v>
      </c>
      <c r="J184" s="1674">
        <f t="shared" si="17"/>
        <v>0</v>
      </c>
      <c r="K184" s="1674">
        <f>SUM(K180,K182,K183)</f>
        <v>361318</v>
      </c>
      <c r="L184" s="1674">
        <f>SUM(L180, L182:L183)</f>
        <v>375970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v>36888</v>
      </c>
      <c r="I206" s="1666"/>
      <c r="J206" s="1666"/>
      <c r="K206" s="1665">
        <f>SUM(H206)</f>
        <v>36888</v>
      </c>
      <c r="L206" s="1566">
        <v>36888</v>
      </c>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36888</v>
      </c>
      <c r="I208" s="1666"/>
      <c r="J208" s="1666"/>
      <c r="K208" s="1674">
        <f>SUM(K204,K205,K206,K207)</f>
        <v>36888</v>
      </c>
      <c r="L208" s="1674">
        <f>SUM(L204,L205,L206,L207)</f>
        <v>36888</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191364</v>
      </c>
      <c r="D210" s="1667">
        <f>SUM(D184,D185)</f>
        <v>34704</v>
      </c>
      <c r="E210" s="1667">
        <f>SUM(E184,E185,E196)</f>
        <v>29672</v>
      </c>
      <c r="F210" s="1667">
        <f>SUM(F184,F185)</f>
        <v>41896</v>
      </c>
      <c r="G210" s="1667">
        <f>SUM(G184,G185)</f>
        <v>63682</v>
      </c>
      <c r="H210" s="1667">
        <f>SUM(H184,H185,H196,H208,H209)</f>
        <v>36888</v>
      </c>
      <c r="I210" s="1667">
        <f>SUM(I184,I185)</f>
        <v>0</v>
      </c>
      <c r="J210" s="1667">
        <f>SUM(J184,J185)</f>
        <v>0</v>
      </c>
      <c r="K210" s="1665">
        <f>SUM(K184,K185,K196,K208,K209)</f>
        <v>398206</v>
      </c>
      <c r="L210" s="1667">
        <f>SUM(L184,L185,L196,L208,L209)</f>
        <v>412858</v>
      </c>
    </row>
    <row r="211" spans="1:14" ht="13.5" thickTop="1" x14ac:dyDescent="0.2">
      <c r="A211" s="2276" t="s">
        <v>989</v>
      </c>
      <c r="B211" s="2277"/>
      <c r="C211" s="1668"/>
      <c r="D211" s="1668"/>
      <c r="E211" s="1668"/>
      <c r="F211" s="1668"/>
      <c r="G211" s="1668"/>
      <c r="H211" s="1668"/>
      <c r="I211" s="1666"/>
      <c r="J211" s="1666"/>
      <c r="K211" s="1682">
        <f>'Revenues 9-14'!F268-'Expenditures 15-22'!K210</f>
        <v>-10080</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1" t="s">
        <v>959</v>
      </c>
      <c r="B213" s="2272"/>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1432+1743+9317+149+2264+2939+2059+4450</f>
        <v>24353</v>
      </c>
      <c r="E215" s="1666"/>
      <c r="F215" s="1666"/>
      <c r="G215" s="1666"/>
      <c r="H215" s="1666"/>
      <c r="I215" s="1666"/>
      <c r="J215" s="1666"/>
      <c r="K215" s="1665">
        <f>D215</f>
        <v>24353</v>
      </c>
      <c r="L215" s="1566">
        <v>17100</v>
      </c>
    </row>
    <row r="216" spans="1:14" x14ac:dyDescent="0.2">
      <c r="A216" s="1267" t="s">
        <v>162</v>
      </c>
      <c r="B216" s="503" t="s">
        <v>961</v>
      </c>
      <c r="C216" s="1666"/>
      <c r="D216" s="1567">
        <f>2441+1639+790</f>
        <v>4870</v>
      </c>
      <c r="E216" s="1666"/>
      <c r="F216" s="1666"/>
      <c r="G216" s="1666"/>
      <c r="H216" s="1666"/>
      <c r="I216" s="1666"/>
      <c r="J216" s="1666"/>
      <c r="K216" s="1665">
        <f t="shared" ref="K216:K228" si="19">D216</f>
        <v>4870</v>
      </c>
      <c r="L216" s="1566">
        <v>5200</v>
      </c>
    </row>
    <row r="217" spans="1:14" x14ac:dyDescent="0.2">
      <c r="A217" s="1267" t="s">
        <v>163</v>
      </c>
      <c r="B217" s="503">
        <v>1200</v>
      </c>
      <c r="C217" s="1666"/>
      <c r="D217" s="1566">
        <f>2407+1712+3383+1+655+3</f>
        <v>8161</v>
      </c>
      <c r="E217" s="1666"/>
      <c r="F217" s="1666"/>
      <c r="G217" s="1666"/>
      <c r="H217" s="1666"/>
      <c r="I217" s="1666"/>
      <c r="J217" s="1666"/>
      <c r="K217" s="1665">
        <f t="shared" si="19"/>
        <v>8161</v>
      </c>
      <c r="L217" s="1566">
        <v>16200</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f>8493+5651+823</f>
        <v>14967</v>
      </c>
      <c r="E219" s="1666"/>
      <c r="F219" s="1666"/>
      <c r="G219" s="1666"/>
      <c r="H219" s="1666"/>
      <c r="I219" s="1666"/>
      <c r="J219" s="1666"/>
      <c r="K219" s="1665">
        <f t="shared" si="19"/>
        <v>14967</v>
      </c>
      <c r="L219" s="1566">
        <v>14550</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f>742+540+2+558</f>
        <v>1842</v>
      </c>
      <c r="E222" s="1666"/>
      <c r="F222" s="1666"/>
      <c r="G222" s="1666"/>
      <c r="H222" s="1666"/>
      <c r="I222" s="1666"/>
      <c r="J222" s="1666"/>
      <c r="K222" s="1665">
        <f t="shared" si="19"/>
        <v>1842</v>
      </c>
      <c r="L222" s="1566">
        <v>1850</v>
      </c>
    </row>
    <row r="223" spans="1:14" x14ac:dyDescent="0.2">
      <c r="A223" s="1267" t="s">
        <v>957</v>
      </c>
      <c r="B223" s="503">
        <v>1500</v>
      </c>
      <c r="C223" s="1666"/>
      <c r="D223" s="1566">
        <f>94+1+166+39+5+4+2+24+334+1+10+5</f>
        <v>685</v>
      </c>
      <c r="E223" s="1666"/>
      <c r="F223" s="1666"/>
      <c r="G223" s="1666"/>
      <c r="H223" s="1666"/>
      <c r="I223" s="1666"/>
      <c r="J223" s="1666"/>
      <c r="K223" s="1665">
        <f t="shared" si="19"/>
        <v>685</v>
      </c>
      <c r="L223" s="1566">
        <v>1125</v>
      </c>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f>62+15+11</f>
        <v>88</v>
      </c>
      <c r="E225" s="1666"/>
      <c r="F225" s="1666"/>
      <c r="G225" s="1666"/>
      <c r="H225" s="1666"/>
      <c r="I225" s="1666"/>
      <c r="J225" s="1666"/>
      <c r="K225" s="1665">
        <f t="shared" si="19"/>
        <v>88</v>
      </c>
      <c r="L225" s="1566">
        <v>125</v>
      </c>
    </row>
    <row r="226" spans="1:12" x14ac:dyDescent="0.2">
      <c r="A226" s="1267" t="s">
        <v>719</v>
      </c>
      <c r="B226" s="503" t="s">
        <v>161</v>
      </c>
      <c r="C226" s="1666"/>
      <c r="D226" s="1567">
        <f>5+339</f>
        <v>344</v>
      </c>
      <c r="E226" s="1666"/>
      <c r="F226" s="1666"/>
      <c r="G226" s="1666"/>
      <c r="H226" s="1666"/>
      <c r="I226" s="1666"/>
      <c r="J226" s="1666"/>
      <c r="K226" s="1665">
        <f t="shared" si="19"/>
        <v>344</v>
      </c>
      <c r="L226" s="1566">
        <v>350</v>
      </c>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55310</v>
      </c>
      <c r="E229" s="1666"/>
      <c r="F229" s="1666"/>
      <c r="G229" s="1666"/>
      <c r="H229" s="1666"/>
      <c r="I229" s="1666"/>
      <c r="J229" s="1666"/>
      <c r="K229" s="1667">
        <f>SUM(K215:K228)</f>
        <v>55310</v>
      </c>
      <c r="L229" s="1667">
        <f>SUM(L215:L228)</f>
        <v>56500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v>585</v>
      </c>
      <c r="E233" s="1666"/>
      <c r="F233" s="1666"/>
      <c r="G233" s="1666"/>
      <c r="H233" s="1666"/>
      <c r="I233" s="1666"/>
      <c r="J233" s="1666"/>
      <c r="K233" s="1665">
        <f t="shared" si="20"/>
        <v>585</v>
      </c>
      <c r="L233" s="1566">
        <v>625</v>
      </c>
    </row>
    <row r="234" spans="1:12" x14ac:dyDescent="0.2">
      <c r="A234" s="1267" t="s">
        <v>196</v>
      </c>
      <c r="B234" s="503">
        <v>2130</v>
      </c>
      <c r="C234" s="1666"/>
      <c r="D234" s="1566">
        <f>29+682</f>
        <v>711</v>
      </c>
      <c r="E234" s="1666"/>
      <c r="F234" s="1666"/>
      <c r="G234" s="1666"/>
      <c r="H234" s="1666"/>
      <c r="I234" s="1666"/>
      <c r="J234" s="1666"/>
      <c r="K234" s="1665">
        <f t="shared" si="20"/>
        <v>711</v>
      </c>
      <c r="L234" s="1566">
        <v>1000</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v>815</v>
      </c>
      <c r="E236" s="1666"/>
      <c r="F236" s="1666"/>
      <c r="G236" s="1666"/>
      <c r="H236" s="1666"/>
      <c r="I236" s="1666"/>
      <c r="J236" s="1666"/>
      <c r="K236" s="1665">
        <f t="shared" si="20"/>
        <v>815</v>
      </c>
      <c r="L236" s="1566">
        <v>1000</v>
      </c>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2111</v>
      </c>
      <c r="E238" s="1666"/>
      <c r="F238" s="1666"/>
      <c r="G238" s="1666"/>
      <c r="H238" s="1666"/>
      <c r="I238" s="1666"/>
      <c r="J238" s="1666"/>
      <c r="K238" s="1667">
        <f>SUM(K232:K237)</f>
        <v>2111</v>
      </c>
      <c r="L238" s="1667">
        <f>SUM(L232:L237)</f>
        <v>2625</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18</v>
      </c>
      <c r="E240" s="1666"/>
      <c r="F240" s="1666"/>
      <c r="G240" s="1666"/>
      <c r="H240" s="1666"/>
      <c r="I240" s="1666"/>
      <c r="J240" s="1666"/>
      <c r="K240" s="1671">
        <f>D240</f>
        <v>18</v>
      </c>
      <c r="L240" s="1579"/>
    </row>
    <row r="241" spans="1:12" x14ac:dyDescent="0.2">
      <c r="A241" s="1267" t="s">
        <v>810</v>
      </c>
      <c r="B241" s="503">
        <v>2220</v>
      </c>
      <c r="C241" s="1666"/>
      <c r="D241" s="1566">
        <f>530+3772+2478+353</f>
        <v>7133</v>
      </c>
      <c r="E241" s="1666"/>
      <c r="F241" s="1666"/>
      <c r="G241" s="1666"/>
      <c r="H241" s="1666"/>
      <c r="I241" s="1666"/>
      <c r="J241" s="1666"/>
      <c r="K241" s="1671">
        <f>D241</f>
        <v>7133</v>
      </c>
      <c r="L241" s="1566">
        <v>7100</v>
      </c>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7151</v>
      </c>
      <c r="E243" s="1666"/>
      <c r="F243" s="1666"/>
      <c r="G243" s="1666"/>
      <c r="H243" s="1666"/>
      <c r="I243" s="1666"/>
      <c r="J243" s="1666"/>
      <c r="K243" s="1667">
        <f>SUM(K240:K242)</f>
        <v>7151</v>
      </c>
      <c r="L243" s="1667">
        <f>SUM(L240:L242)</f>
        <v>7100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f>22+343+228+33</f>
        <v>626</v>
      </c>
      <c r="E245" s="1666"/>
      <c r="F245" s="1666"/>
      <c r="G245" s="1666"/>
      <c r="H245" s="1666"/>
      <c r="I245" s="1666"/>
      <c r="J245" s="1666"/>
      <c r="K245" s="1671">
        <f>D245</f>
        <v>626</v>
      </c>
      <c r="L245" s="1579">
        <v>685</v>
      </c>
    </row>
    <row r="246" spans="1:12" x14ac:dyDescent="0.2">
      <c r="A246" s="1267" t="s">
        <v>813</v>
      </c>
      <c r="B246" s="503">
        <v>2320</v>
      </c>
      <c r="C246" s="1666"/>
      <c r="D246" s="1566">
        <f>3601+2401+1336</f>
        <v>7338</v>
      </c>
      <c r="E246" s="1666"/>
      <c r="F246" s="1666"/>
      <c r="G246" s="1666"/>
      <c r="H246" s="1666"/>
      <c r="I246" s="1666"/>
      <c r="J246" s="1666"/>
      <c r="K246" s="1671">
        <f t="shared" ref="K246:K256" si="21">D246</f>
        <v>7338</v>
      </c>
      <c r="L246" s="1566">
        <v>7800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7964</v>
      </c>
      <c r="E257" s="1666"/>
      <c r="F257" s="1666"/>
      <c r="G257" s="1666"/>
      <c r="H257" s="1666"/>
      <c r="I257" s="1666"/>
      <c r="J257" s="1666"/>
      <c r="K257" s="1667">
        <f>SUM(K245:K256)</f>
        <v>7964</v>
      </c>
      <c r="L257" s="1667">
        <f>SUM(L245:L256)</f>
        <v>8485</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f>2578+2185+1717+1460+837+241+1380</f>
        <v>10398</v>
      </c>
      <c r="E259" s="1666"/>
      <c r="F259" s="1666"/>
      <c r="G259" s="1666"/>
      <c r="H259" s="1666"/>
      <c r="I259" s="1666"/>
      <c r="J259" s="1666"/>
      <c r="K259" s="1671">
        <f>D259</f>
        <v>10398</v>
      </c>
      <c r="L259" s="1579">
        <v>11700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10398</v>
      </c>
      <c r="E261" s="1666"/>
      <c r="F261" s="1666"/>
      <c r="G261" s="1666"/>
      <c r="H261" s="1666"/>
      <c r="I261" s="1666"/>
      <c r="J261" s="1666"/>
      <c r="K261" s="1667">
        <f>SUM(K259:K260)</f>
        <v>10398</v>
      </c>
      <c r="L261" s="1667">
        <f>SUM(L259:L260)</f>
        <v>11700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f>3772+2503+359</f>
        <v>6634</v>
      </c>
      <c r="E264" s="1666"/>
      <c r="F264" s="1666"/>
      <c r="G264" s="1666"/>
      <c r="H264" s="1666"/>
      <c r="I264" s="1666"/>
      <c r="J264" s="1666"/>
      <c r="K264" s="1671">
        <f t="shared" ref="K264:K269" si="22">D264</f>
        <v>6634</v>
      </c>
      <c r="L264" s="1566">
        <v>6500</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f>108+9239+76+6956+1059</f>
        <v>17438</v>
      </c>
      <c r="E266" s="1666"/>
      <c r="F266" s="1666"/>
      <c r="G266" s="1666"/>
      <c r="H266" s="1666"/>
      <c r="I266" s="1666"/>
      <c r="J266" s="1666"/>
      <c r="K266" s="1671">
        <f t="shared" si="22"/>
        <v>17438</v>
      </c>
      <c r="L266" s="1566">
        <v>17150</v>
      </c>
    </row>
    <row r="267" spans="1:14" x14ac:dyDescent="0.2">
      <c r="A267" s="1267" t="s">
        <v>947</v>
      </c>
      <c r="B267" s="503">
        <v>2550</v>
      </c>
      <c r="C267" s="1666"/>
      <c r="D267" s="1566">
        <f>12409+12650+1867</f>
        <v>26926</v>
      </c>
      <c r="E267" s="1666"/>
      <c r="F267" s="1666"/>
      <c r="G267" s="1666"/>
      <c r="H267" s="1666"/>
      <c r="I267" s="1666"/>
      <c r="J267" s="1666"/>
      <c r="K267" s="1671">
        <f t="shared" si="22"/>
        <v>26926</v>
      </c>
      <c r="L267" s="1566">
        <v>28100</v>
      </c>
    </row>
    <row r="268" spans="1:14" x14ac:dyDescent="0.2">
      <c r="A268" s="1267" t="s">
        <v>100</v>
      </c>
      <c r="B268" s="503">
        <v>2560</v>
      </c>
      <c r="C268" s="1666"/>
      <c r="D268" s="1566">
        <f>6908+4640+665</f>
        <v>12213</v>
      </c>
      <c r="E268" s="1666"/>
      <c r="F268" s="1666"/>
      <c r="G268" s="1666"/>
      <c r="H268" s="1666"/>
      <c r="I268" s="1666"/>
      <c r="J268" s="1666"/>
      <c r="K268" s="1671">
        <f t="shared" si="22"/>
        <v>12213</v>
      </c>
      <c r="L268" s="1566">
        <v>14900</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63211</v>
      </c>
      <c r="E270" s="1666"/>
      <c r="F270" s="1666"/>
      <c r="G270" s="1666"/>
      <c r="H270" s="1666"/>
      <c r="I270" s="1666"/>
      <c r="J270" s="1666"/>
      <c r="K270" s="1667">
        <f>SUM(K263:K269)</f>
        <v>63211</v>
      </c>
      <c r="L270" s="1667">
        <f>SUM(L263:L269)</f>
        <v>66650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90835</v>
      </c>
      <c r="E279" s="1666"/>
      <c r="F279" s="1666"/>
      <c r="G279" s="1666"/>
      <c r="H279" s="1666"/>
      <c r="I279" s="1666"/>
      <c r="J279" s="1666"/>
      <c r="K279" s="1674">
        <f>SUM(K238,K243,K257,K261,K270,K277,K278)</f>
        <v>90835</v>
      </c>
      <c r="L279" s="1674">
        <f>SUM(L238,L243,L257,L261,L270,L277,L278)</f>
        <v>96560</v>
      </c>
    </row>
    <row r="280" spans="1:12" ht="15.75" customHeight="1" thickTop="1" thickBot="1" x14ac:dyDescent="0.25">
      <c r="A280" s="1355" t="s">
        <v>870</v>
      </c>
      <c r="B280" s="1344">
        <v>3000</v>
      </c>
      <c r="C280" s="1666"/>
      <c r="D280" s="1644">
        <v>24560</v>
      </c>
      <c r="E280" s="1666"/>
      <c r="F280" s="1666"/>
      <c r="G280" s="1666"/>
      <c r="H280" s="1666"/>
      <c r="I280" s="1666"/>
      <c r="J280" s="1666"/>
      <c r="K280" s="1680">
        <f>D280</f>
        <v>24560</v>
      </c>
      <c r="L280" s="1644">
        <v>24550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67" t="s">
        <v>502</v>
      </c>
      <c r="B295" s="2268"/>
      <c r="C295" s="1666"/>
      <c r="D295" s="1667">
        <f>SUM(D229,D279,D280,D285)</f>
        <v>170705</v>
      </c>
      <c r="E295" s="1666"/>
      <c r="F295" s="1666"/>
      <c r="G295" s="1666"/>
      <c r="H295" s="1667">
        <f>H293</f>
        <v>0</v>
      </c>
      <c r="I295" s="1666"/>
      <c r="J295" s="1666"/>
      <c r="K295" s="1667">
        <f>SUM(K229,K279,K280,K285,K293,K294)</f>
        <v>170705</v>
      </c>
      <c r="L295" s="1667">
        <f>SUM(L229,L279,L280,L285,L293,L294)</f>
        <v>177610</v>
      </c>
    </row>
    <row r="296" spans="1:14" ht="13.5" thickTop="1" x14ac:dyDescent="0.2">
      <c r="A296" s="2276" t="s">
        <v>989</v>
      </c>
      <c r="B296" s="2277"/>
      <c r="C296" s="1666"/>
      <c r="D296" s="1668"/>
      <c r="E296" s="1666"/>
      <c r="F296" s="1666"/>
      <c r="G296" s="1666"/>
      <c r="H296" s="1700"/>
      <c r="I296" s="1666"/>
      <c r="J296" s="1666"/>
      <c r="K296" s="1682">
        <f>'Revenues 9-14'!G268-'Expenditures 15-22'!K295</f>
        <v>-37641</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59" t="s">
        <v>142</v>
      </c>
      <c r="B298" s="2253"/>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f>46020</f>
        <v>46020</v>
      </c>
      <c r="F301" s="1566">
        <f>7690+262</f>
        <v>7952</v>
      </c>
      <c r="G301" s="1566">
        <v>42308</v>
      </c>
      <c r="H301" s="1566"/>
      <c r="I301" s="1567"/>
      <c r="J301" s="1567"/>
      <c r="K301" s="1665">
        <f>SUM(C301:J301)</f>
        <v>96280</v>
      </c>
      <c r="L301" s="1567">
        <v>80000</v>
      </c>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46020</v>
      </c>
      <c r="F303" s="1674">
        <f t="shared" si="23"/>
        <v>7952</v>
      </c>
      <c r="G303" s="1674">
        <f t="shared" si="23"/>
        <v>42308</v>
      </c>
      <c r="H303" s="1674">
        <f t="shared" si="23"/>
        <v>0</v>
      </c>
      <c r="I303" s="1674">
        <f t="shared" si="23"/>
        <v>0</v>
      </c>
      <c r="J303" s="1674">
        <f t="shared" si="23"/>
        <v>0</v>
      </c>
      <c r="K303" s="1674">
        <f t="shared" si="23"/>
        <v>96280</v>
      </c>
      <c r="L303" s="1674">
        <f t="shared" si="23"/>
        <v>80000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4" t="s">
        <v>275</v>
      </c>
      <c r="B312" s="2265"/>
      <c r="C312" s="1667">
        <f>SUM(C303)</f>
        <v>0</v>
      </c>
      <c r="D312" s="1667">
        <f>SUM(D303)</f>
        <v>0</v>
      </c>
      <c r="E312" s="1667">
        <f>SUM(E303,E310)</f>
        <v>46020</v>
      </c>
      <c r="F312" s="1667">
        <f>SUM(F303)</f>
        <v>7952</v>
      </c>
      <c r="G312" s="1667">
        <f>SUM(G303)</f>
        <v>42308</v>
      </c>
      <c r="H312" s="1667">
        <f>SUM(H303,H310)</f>
        <v>0</v>
      </c>
      <c r="I312" s="1667">
        <f>SUM(I303)</f>
        <v>0</v>
      </c>
      <c r="J312" s="1667">
        <f>SUM(J303)</f>
        <v>0</v>
      </c>
      <c r="K312" s="1667">
        <f>SUM(K303,K310,K311)</f>
        <v>96280</v>
      </c>
      <c r="L312" s="1667">
        <f>SUM(L303,L310,L311)</f>
        <v>80000</v>
      </c>
      <c r="M312" s="539"/>
      <c r="N312" s="539"/>
    </row>
    <row r="313" spans="1:14" ht="13.5" thickTop="1" x14ac:dyDescent="0.2">
      <c r="A313" s="2260" t="s">
        <v>989</v>
      </c>
      <c r="B313" s="2261"/>
      <c r="C313" s="1670"/>
      <c r="D313" s="1670"/>
      <c r="E313" s="1670"/>
      <c r="F313" s="1670"/>
      <c r="G313" s="1670"/>
      <c r="H313" s="1670"/>
      <c r="I313" s="1670"/>
      <c r="J313" s="1670"/>
      <c r="K313" s="1689">
        <f>'Revenues 9-14'!H268-'Expenditures 15-22'!K312</f>
        <v>17144</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73" t="s">
        <v>148</v>
      </c>
      <c r="B315" s="2274"/>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75" t="s">
        <v>892</v>
      </c>
      <c r="B317" s="2274"/>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v>13989</v>
      </c>
      <c r="F320" s="1567"/>
      <c r="G320" s="1567"/>
      <c r="H320" s="1567"/>
      <c r="I320" s="1567"/>
      <c r="J320" s="1567"/>
      <c r="K320" s="1665">
        <f t="shared" ref="K320:K327" si="24">SUM(C320:J320)</f>
        <v>13989</v>
      </c>
      <c r="L320" s="1567">
        <v>13989</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v>39197</v>
      </c>
      <c r="F322" s="1567"/>
      <c r="G322" s="1567"/>
      <c r="H322" s="1567"/>
      <c r="I322" s="1567"/>
      <c r="J322" s="1567"/>
      <c r="K322" s="1665">
        <f t="shared" si="24"/>
        <v>39197</v>
      </c>
      <c r="L322" s="1567">
        <v>39197</v>
      </c>
      <c r="M322" s="539"/>
      <c r="N322" s="539"/>
    </row>
    <row r="323" spans="1:14" s="548" customFormat="1" x14ac:dyDescent="0.2">
      <c r="A323" s="1282" t="s">
        <v>697</v>
      </c>
      <c r="B323" s="567" t="s">
        <v>283</v>
      </c>
      <c r="C323" s="1567"/>
      <c r="D323" s="1567"/>
      <c r="E323" s="1567">
        <v>19456</v>
      </c>
      <c r="F323" s="1567">
        <v>1046</v>
      </c>
      <c r="G323" s="1567"/>
      <c r="H323" s="1567"/>
      <c r="I323" s="1567"/>
      <c r="J323" s="1567"/>
      <c r="K323" s="1665">
        <f t="shared" si="24"/>
        <v>20502</v>
      </c>
      <c r="L323" s="1567">
        <v>25500</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1632</v>
      </c>
      <c r="F327" s="1567"/>
      <c r="G327" s="1567"/>
      <c r="H327" s="1567"/>
      <c r="I327" s="1567"/>
      <c r="J327" s="1567"/>
      <c r="K327" s="1665">
        <f t="shared" si="24"/>
        <v>1632</v>
      </c>
      <c r="L327" s="1567">
        <v>1632</v>
      </c>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74274</v>
      </c>
      <c r="F330" s="1667">
        <f t="shared" si="25"/>
        <v>1046</v>
      </c>
      <c r="G330" s="1667">
        <f t="shared" si="25"/>
        <v>0</v>
      </c>
      <c r="H330" s="1667">
        <f t="shared" si="25"/>
        <v>0</v>
      </c>
      <c r="I330" s="1667">
        <f t="shared" si="25"/>
        <v>0</v>
      </c>
      <c r="J330" s="1667">
        <f t="shared" si="25"/>
        <v>0</v>
      </c>
      <c r="K330" s="1667">
        <f>SUM(K319:K329)</f>
        <v>75320</v>
      </c>
      <c r="L330" s="1667">
        <f>SUM(L319:L329)</f>
        <v>80318</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74274</v>
      </c>
      <c r="F342" s="1667">
        <f>SUM(F330)</f>
        <v>1046</v>
      </c>
      <c r="G342" s="1667">
        <f>SUM(G330)</f>
        <v>0</v>
      </c>
      <c r="H342" s="1667">
        <f>SUM(H330,H334,H340)</f>
        <v>0</v>
      </c>
      <c r="I342" s="1667">
        <f>SUM(I330)</f>
        <v>0</v>
      </c>
      <c r="J342" s="1667">
        <f>SUM(J330)</f>
        <v>0</v>
      </c>
      <c r="K342" s="1667">
        <f>SUM(K330,K334,K340)</f>
        <v>75320</v>
      </c>
      <c r="L342" s="1674">
        <f>SUM(L330,L334,L340,L341)</f>
        <v>80318</v>
      </c>
    </row>
    <row r="343" spans="1:14" ht="12.75" customHeight="1" thickTop="1" x14ac:dyDescent="0.2">
      <c r="A343" s="2262" t="s">
        <v>989</v>
      </c>
      <c r="B343" s="2263"/>
      <c r="C343" s="1666"/>
      <c r="D343" s="1666"/>
      <c r="E343" s="1666"/>
      <c r="F343" s="1666"/>
      <c r="G343" s="1666"/>
      <c r="H343" s="1666"/>
      <c r="I343" s="1666"/>
      <c r="J343" s="1666"/>
      <c r="K343" s="1682">
        <f>'Revenues 9-14'!J268-'Expenditures 15-22'!K342</f>
        <v>5669</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52" t="s">
        <v>960</v>
      </c>
      <c r="B345" s="2253"/>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v>7458</v>
      </c>
      <c r="F348" s="1566"/>
      <c r="G348" s="1566"/>
      <c r="H348" s="1566"/>
      <c r="I348" s="1567"/>
      <c r="J348" s="1567"/>
      <c r="K348" s="1665">
        <f>SUM(C348:J348)</f>
        <v>7458</v>
      </c>
      <c r="L348" s="1566">
        <v>25500</v>
      </c>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7458</v>
      </c>
      <c r="F350" s="1667">
        <f t="shared" si="26"/>
        <v>0</v>
      </c>
      <c r="G350" s="1667">
        <f t="shared" si="26"/>
        <v>0</v>
      </c>
      <c r="H350" s="1667">
        <f t="shared" si="26"/>
        <v>0</v>
      </c>
      <c r="I350" s="1667">
        <f t="shared" si="26"/>
        <v>0</v>
      </c>
      <c r="J350" s="1667">
        <f t="shared" si="26"/>
        <v>0</v>
      </c>
      <c r="K350" s="1667">
        <f t="shared" si="26"/>
        <v>7458</v>
      </c>
      <c r="L350" s="1667">
        <f t="shared" si="26"/>
        <v>25500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7458</v>
      </c>
      <c r="F352" s="1667">
        <f t="shared" si="27"/>
        <v>0</v>
      </c>
      <c r="G352" s="1667">
        <f t="shared" si="27"/>
        <v>0</v>
      </c>
      <c r="H352" s="1667">
        <f t="shared" si="27"/>
        <v>0</v>
      </c>
      <c r="I352" s="1667">
        <f t="shared" si="27"/>
        <v>0</v>
      </c>
      <c r="J352" s="1667">
        <f t="shared" si="27"/>
        <v>0</v>
      </c>
      <c r="K352" s="1667">
        <f t="shared" si="27"/>
        <v>7458</v>
      </c>
      <c r="L352" s="1667">
        <f t="shared" si="27"/>
        <v>25500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7458</v>
      </c>
      <c r="F367" s="1667">
        <f t="shared" si="28"/>
        <v>0</v>
      </c>
      <c r="G367" s="1667">
        <f t="shared" si="28"/>
        <v>0</v>
      </c>
      <c r="H367" s="1667">
        <f t="shared" si="28"/>
        <v>0</v>
      </c>
      <c r="I367" s="1667">
        <f t="shared" si="28"/>
        <v>0</v>
      </c>
      <c r="J367" s="1667">
        <f t="shared" si="28"/>
        <v>0</v>
      </c>
      <c r="K367" s="1667">
        <f t="shared" si="28"/>
        <v>7458</v>
      </c>
      <c r="L367" s="1667">
        <f t="shared" si="28"/>
        <v>25500</v>
      </c>
    </row>
    <row r="368" spans="1:14" ht="13.5" thickTop="1" x14ac:dyDescent="0.2">
      <c r="A368" s="2276" t="s">
        <v>989</v>
      </c>
      <c r="B368" s="2277"/>
      <c r="C368" s="1687"/>
      <c r="D368" s="1687"/>
      <c r="E368" s="1670"/>
      <c r="F368" s="1670"/>
      <c r="G368" s="1670"/>
      <c r="H368" s="1670"/>
      <c r="I368" s="1670"/>
      <c r="J368" s="1669"/>
      <c r="K368" s="1665">
        <f>'Revenues 9-14'!K268-'Expenditures 15-22'!K367</f>
        <v>2996</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 sqref="A4:L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78"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79"/>
      <c r="B3" s="1287"/>
      <c r="C3" s="1288"/>
      <c r="D3" s="1289" t="s">
        <v>254</v>
      </c>
      <c r="E3" s="1288"/>
      <c r="F3" s="1289" t="s">
        <v>255</v>
      </c>
    </row>
    <row r="4" spans="1:8" ht="13.7" customHeight="1" x14ac:dyDescent="0.2">
      <c r="A4" s="579" t="s">
        <v>1147</v>
      </c>
      <c r="B4" s="1714">
        <f>'Revenues 9-14'!C5</f>
        <v>1167249</v>
      </c>
      <c r="C4" s="1715"/>
      <c r="D4" s="1716">
        <f>B4-C4</f>
        <v>1167249</v>
      </c>
      <c r="E4" s="1715">
        <v>1181241</v>
      </c>
      <c r="F4" s="1716">
        <f>E4-C4</f>
        <v>1181241</v>
      </c>
    </row>
    <row r="5" spans="1:8" ht="13.7" customHeight="1" x14ac:dyDescent="0.2">
      <c r="A5" s="579" t="s">
        <v>865</v>
      </c>
      <c r="B5" s="1717">
        <f>'Revenues 9-14'!D5</f>
        <v>151399</v>
      </c>
      <c r="C5" s="1657"/>
      <c r="D5" s="1718">
        <f t="shared" ref="D5:D18" si="0">B5-C5</f>
        <v>151399</v>
      </c>
      <c r="E5" s="1657">
        <v>167718</v>
      </c>
      <c r="F5" s="1718">
        <f>E5-C5</f>
        <v>167718</v>
      </c>
    </row>
    <row r="6" spans="1:8" ht="13.7" customHeight="1" x14ac:dyDescent="0.2">
      <c r="A6" s="579" t="s">
        <v>408</v>
      </c>
      <c r="B6" s="1717">
        <f>'Revenues 9-14'!E5</f>
        <v>108637</v>
      </c>
      <c r="C6" s="1657"/>
      <c r="D6" s="1718">
        <f t="shared" si="0"/>
        <v>108637</v>
      </c>
      <c r="E6" s="1657">
        <v>106652</v>
      </c>
      <c r="F6" s="1718">
        <f t="shared" ref="F6:F18" si="1">E6-C6</f>
        <v>106652</v>
      </c>
    </row>
    <row r="7" spans="1:8" ht="13.7" customHeight="1" x14ac:dyDescent="0.2">
      <c r="A7" s="579" t="s">
        <v>154</v>
      </c>
      <c r="B7" s="1717">
        <f>'Revenues 9-14'!F5</f>
        <v>190474</v>
      </c>
      <c r="C7" s="1657"/>
      <c r="D7" s="1718">
        <f t="shared" si="0"/>
        <v>190474</v>
      </c>
      <c r="E7" s="1657">
        <v>200130</v>
      </c>
      <c r="F7" s="1718">
        <f t="shared" si="1"/>
        <v>200130</v>
      </c>
    </row>
    <row r="8" spans="1:8" ht="13.7" customHeight="1" x14ac:dyDescent="0.2">
      <c r="A8" s="579" t="s">
        <v>1171</v>
      </c>
      <c r="B8" s="1717">
        <f>'Revenues 9-14'!G5</f>
        <v>63491</v>
      </c>
      <c r="C8" s="1657"/>
      <c r="D8" s="1718">
        <f t="shared" si="0"/>
        <v>63491</v>
      </c>
      <c r="E8" s="1657">
        <v>65406</v>
      </c>
      <c r="F8" s="1718">
        <f t="shared" si="1"/>
        <v>65406</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11231</v>
      </c>
      <c r="C10" s="1657"/>
      <c r="D10" s="1718">
        <f t="shared" si="0"/>
        <v>11231</v>
      </c>
      <c r="E10" s="1657">
        <v>11717</v>
      </c>
      <c r="F10" s="1718">
        <f t="shared" si="1"/>
        <v>11717</v>
      </c>
    </row>
    <row r="11" spans="1:8" x14ac:dyDescent="0.2">
      <c r="A11" s="579" t="s">
        <v>406</v>
      </c>
      <c r="B11" s="1717">
        <f>'Revenues 9-14'!J5</f>
        <v>73258</v>
      </c>
      <c r="C11" s="1657"/>
      <c r="D11" s="1718">
        <f t="shared" si="0"/>
        <v>73258</v>
      </c>
      <c r="E11" s="1657">
        <v>74195</v>
      </c>
      <c r="F11" s="1718">
        <f t="shared" si="1"/>
        <v>74195</v>
      </c>
    </row>
    <row r="12" spans="1:8" ht="13.7" customHeight="1" x14ac:dyDescent="0.2">
      <c r="A12" s="579" t="s">
        <v>156</v>
      </c>
      <c r="B12" s="1717">
        <f>'Revenues 9-14'!K5</f>
        <v>7622</v>
      </c>
      <c r="C12" s="1657"/>
      <c r="D12" s="1718">
        <f t="shared" si="0"/>
        <v>7622</v>
      </c>
      <c r="E12" s="1657">
        <v>7808</v>
      </c>
      <c r="F12" s="1718">
        <f t="shared" si="1"/>
        <v>7808</v>
      </c>
    </row>
    <row r="13" spans="1:8" ht="13.7" customHeight="1" x14ac:dyDescent="0.2">
      <c r="A13" s="579" t="s">
        <v>930</v>
      </c>
      <c r="B13" s="1717">
        <f>SUM('Revenues 9-14'!C6:D6)</f>
        <v>4883</v>
      </c>
      <c r="C13" s="1657"/>
      <c r="D13" s="1718">
        <f t="shared" si="0"/>
        <v>4883</v>
      </c>
      <c r="E13" s="1657">
        <v>5856</v>
      </c>
      <c r="F13" s="1718">
        <f t="shared" si="1"/>
        <v>5856</v>
      </c>
    </row>
    <row r="14" spans="1:8" ht="13.7" customHeight="1" x14ac:dyDescent="0.2">
      <c r="A14" s="579" t="s">
        <v>407</v>
      </c>
      <c r="B14" s="1717">
        <f>SUM('Revenues 9-14'!C7:D7,'Revenues 9-14'!F7:H7)</f>
        <v>9767</v>
      </c>
      <c r="C14" s="1657"/>
      <c r="D14" s="1718">
        <f t="shared" si="0"/>
        <v>9767</v>
      </c>
      <c r="E14" s="1657">
        <v>10737</v>
      </c>
      <c r="F14" s="1718">
        <f t="shared" si="1"/>
        <v>10737</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63491</v>
      </c>
      <c r="C16" s="1657"/>
      <c r="D16" s="1718">
        <f t="shared" si="0"/>
        <v>63491</v>
      </c>
      <c r="E16" s="1657">
        <v>65406</v>
      </c>
      <c r="F16" s="1718">
        <f t="shared" si="1"/>
        <v>65406</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1851502</v>
      </c>
      <c r="C19" s="1719">
        <f>SUM(C4:C18)</f>
        <v>0</v>
      </c>
      <c r="D19" s="1719">
        <f>SUM(D4:D18)</f>
        <v>1851502</v>
      </c>
      <c r="E19" s="1719">
        <f>SUM(E4:E18)</f>
        <v>1896866</v>
      </c>
      <c r="F19" s="1719">
        <f>SUM(F4:F18)</f>
        <v>1896866</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A4" sqref="A4:L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4" t="s">
        <v>625</v>
      </c>
      <c r="B1" s="2285"/>
      <c r="C1" s="585"/>
    </row>
    <row r="2" spans="1:7" ht="33.75" x14ac:dyDescent="0.2">
      <c r="A2" s="2293" t="s">
        <v>1782</v>
      </c>
      <c r="B2" s="2294"/>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297" t="s">
        <v>1106</v>
      </c>
      <c r="B3" s="2298"/>
      <c r="C3" s="2286"/>
      <c r="D3" s="2287"/>
      <c r="E3" s="2287"/>
      <c r="F3" s="2288"/>
    </row>
    <row r="4" spans="1:7" ht="12.75" customHeight="1" thickBot="1" x14ac:dyDescent="0.25">
      <c r="A4" s="2295" t="s">
        <v>626</v>
      </c>
      <c r="B4" s="2296"/>
      <c r="C4" s="1649"/>
      <c r="D4" s="1649"/>
      <c r="E4" s="1649"/>
      <c r="F4" s="1725">
        <f>SUM(C4+D4)-E4</f>
        <v>0</v>
      </c>
    </row>
    <row r="5" spans="1:7" ht="15.75" customHeight="1" thickTop="1" x14ac:dyDescent="0.2">
      <c r="A5" s="2280" t="s">
        <v>1103</v>
      </c>
      <c r="B5" s="2281"/>
      <c r="C5" s="2289"/>
      <c r="D5" s="2290"/>
      <c r="E5" s="2290"/>
      <c r="F5" s="2291"/>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82" t="s">
        <v>627</v>
      </c>
      <c r="B15" s="2283"/>
      <c r="C15" s="1725">
        <f>SUM(C6:C14)</f>
        <v>0</v>
      </c>
      <c r="D15" s="1725">
        <f>SUM(D6:D14)</f>
        <v>0</v>
      </c>
      <c r="E15" s="1725">
        <f>SUM(E6:E14)</f>
        <v>0</v>
      </c>
      <c r="F15" s="1725">
        <f>SUM(F6:F14)</f>
        <v>0</v>
      </c>
      <c r="G15" s="473"/>
    </row>
    <row r="16" spans="1:7" s="197" customFormat="1" ht="15.75" customHeight="1" thickTop="1" x14ac:dyDescent="0.2">
      <c r="A16" s="2292" t="s">
        <v>1104</v>
      </c>
      <c r="B16" s="2281"/>
      <c r="C16" s="2289"/>
      <c r="D16" s="2290"/>
      <c r="E16" s="2290"/>
      <c r="F16" s="2291"/>
    </row>
    <row r="17" spans="1:11" ht="12.75" customHeight="1" thickBot="1" x14ac:dyDescent="0.25">
      <c r="A17" s="2305" t="s">
        <v>64</v>
      </c>
      <c r="B17" s="2306"/>
      <c r="C17" s="1726"/>
      <c r="D17" s="1657"/>
      <c r="E17" s="1726"/>
      <c r="F17" s="1725">
        <f>SUM(C17+D17)-E17</f>
        <v>0</v>
      </c>
    </row>
    <row r="18" spans="1:11" ht="12.75" customHeight="1" thickTop="1" thickBot="1" x14ac:dyDescent="0.25">
      <c r="A18" s="2305" t="s">
        <v>6</v>
      </c>
      <c r="B18" s="2306"/>
      <c r="C18" s="1726"/>
      <c r="D18" s="1657"/>
      <c r="E18" s="1726"/>
      <c r="F18" s="1725">
        <f>SUM(C18+D18)-E18</f>
        <v>0</v>
      </c>
    </row>
    <row r="19" spans="1:11" ht="12.75" customHeight="1" thickTop="1" thickBot="1" x14ac:dyDescent="0.25">
      <c r="A19" s="2305" t="s">
        <v>385</v>
      </c>
      <c r="B19" s="2306"/>
      <c r="C19" s="1726"/>
      <c r="D19" s="1657"/>
      <c r="E19" s="1726"/>
      <c r="F19" s="1725">
        <f>SUM(C19+D19)-E19</f>
        <v>0</v>
      </c>
    </row>
    <row r="20" spans="1:11" ht="12.75" customHeight="1" thickTop="1" thickBot="1" x14ac:dyDescent="0.25">
      <c r="A20" s="2305" t="s">
        <v>445</v>
      </c>
      <c r="B20" s="2306"/>
      <c r="C20" s="1726"/>
      <c r="D20" s="1657"/>
      <c r="E20" s="1726"/>
      <c r="F20" s="1725">
        <f>SUM(C20+D20)-E20</f>
        <v>0</v>
      </c>
    </row>
    <row r="21" spans="1:11" ht="14.25" thickTop="1" thickBot="1" x14ac:dyDescent="0.25">
      <c r="A21" s="2282" t="s">
        <v>628</v>
      </c>
      <c r="B21" s="2283"/>
      <c r="C21" s="1725">
        <f>SUM(C17:C20)</f>
        <v>0</v>
      </c>
      <c r="D21" s="1725">
        <f>SUM(D17:D20)</f>
        <v>0</v>
      </c>
      <c r="E21" s="1725">
        <f>SUM(E17:E20)</f>
        <v>0</v>
      </c>
      <c r="F21" s="1725">
        <f>SUM(F17:F20)</f>
        <v>0</v>
      </c>
      <c r="G21" s="473"/>
    </row>
    <row r="22" spans="1:11" ht="15.75" customHeight="1" thickTop="1" x14ac:dyDescent="0.2">
      <c r="A22" s="2307" t="s">
        <v>1105</v>
      </c>
      <c r="B22" s="2281"/>
      <c r="C22" s="2289"/>
      <c r="D22" s="2290"/>
      <c r="E22" s="2290"/>
      <c r="F22" s="2291"/>
    </row>
    <row r="23" spans="1:11" ht="13.5" thickBot="1" x14ac:dyDescent="0.25">
      <c r="A23" s="2295" t="s">
        <v>629</v>
      </c>
      <c r="B23" s="2296"/>
      <c r="C23" s="1649"/>
      <c r="D23" s="1649"/>
      <c r="E23" s="1649"/>
      <c r="F23" s="1725">
        <f>SUM(C23+D23)-E23</f>
        <v>0</v>
      </c>
      <c r="G23" s="473"/>
    </row>
    <row r="24" spans="1:11" ht="15.75" customHeight="1" thickTop="1" x14ac:dyDescent="0.2">
      <c r="A24" s="2307" t="s">
        <v>2009</v>
      </c>
      <c r="B24" s="2281"/>
      <c r="C24" s="2289"/>
      <c r="D24" s="2290"/>
      <c r="E24" s="2290"/>
      <c r="F24" s="2291"/>
    </row>
    <row r="25" spans="1:11" ht="13.5" thickBot="1" x14ac:dyDescent="0.25">
      <c r="A25" s="2295" t="s">
        <v>2010</v>
      </c>
      <c r="B25" s="2296"/>
      <c r="C25" s="1649"/>
      <c r="D25" s="1649"/>
      <c r="E25" s="1649"/>
      <c r="F25" s="1725">
        <f>SUM(C25+D25)-E25</f>
        <v>0</v>
      </c>
      <c r="G25" s="473"/>
    </row>
    <row r="26" spans="1:11" ht="15.75" customHeight="1" thickTop="1" x14ac:dyDescent="0.2">
      <c r="A26" s="2280" t="s">
        <v>652</v>
      </c>
      <c r="B26" s="2281"/>
      <c r="C26" s="589"/>
      <c r="D26" s="589"/>
      <c r="E26" s="589"/>
      <c r="F26" s="590"/>
    </row>
    <row r="27" spans="1:11" ht="13.5" thickBot="1" x14ac:dyDescent="0.25">
      <c r="A27" s="2282" t="s">
        <v>1063</v>
      </c>
      <c r="B27" s="2283"/>
      <c r="C27" s="1657"/>
      <c r="D27" s="1657"/>
      <c r="E27" s="1657"/>
      <c r="F27" s="1725">
        <f>SUM(C27+D27)-E27</f>
        <v>0</v>
      </c>
      <c r="G27" s="473"/>
    </row>
    <row r="28" spans="1:11" ht="7.5" customHeight="1" thickTop="1" x14ac:dyDescent="0.2">
      <c r="A28" s="489"/>
    </row>
    <row r="29" spans="1:11" ht="23.25" customHeight="1" x14ac:dyDescent="0.2">
      <c r="A29" s="2308" t="s">
        <v>578</v>
      </c>
      <c r="B29" s="2285"/>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2043</v>
      </c>
      <c r="B31" s="595">
        <v>41885</v>
      </c>
      <c r="C31" s="1727">
        <v>950000</v>
      </c>
      <c r="D31" s="1728">
        <v>4</v>
      </c>
      <c r="E31" s="1727">
        <v>620000</v>
      </c>
      <c r="F31" s="1727"/>
      <c r="G31" s="1727"/>
      <c r="H31" s="1727">
        <v>95000</v>
      </c>
      <c r="I31" s="1729">
        <f>((E31+F31)-H31)+G31</f>
        <v>525000</v>
      </c>
      <c r="J31" s="1727">
        <f>-10558+I31</f>
        <v>514442</v>
      </c>
      <c r="K31" s="596"/>
    </row>
    <row r="32" spans="1:11" ht="12" customHeight="1" x14ac:dyDescent="0.2">
      <c r="A32" s="594" t="s">
        <v>2044</v>
      </c>
      <c r="B32" s="595">
        <v>43663</v>
      </c>
      <c r="C32" s="1727">
        <v>172677</v>
      </c>
      <c r="D32" s="1728">
        <v>7</v>
      </c>
      <c r="E32" s="1727"/>
      <c r="F32" s="1727">
        <v>172677</v>
      </c>
      <c r="G32" s="1727"/>
      <c r="H32" s="1727">
        <v>36888</v>
      </c>
      <c r="I32" s="1729">
        <f>((E32+F32)-H32)+G32</f>
        <v>135789</v>
      </c>
      <c r="J32" s="1727">
        <v>135789</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1122677</v>
      </c>
      <c r="D49" s="1735"/>
      <c r="E49" s="1729">
        <f t="shared" ref="E49:J49" si="2">SUM(E31:E48)</f>
        <v>620000</v>
      </c>
      <c r="F49" s="1729">
        <f t="shared" si="2"/>
        <v>172677</v>
      </c>
      <c r="G49" s="1729">
        <f t="shared" si="2"/>
        <v>0</v>
      </c>
      <c r="H49" s="1729">
        <f t="shared" si="2"/>
        <v>131888</v>
      </c>
      <c r="I49" s="1729">
        <f t="shared" si="2"/>
        <v>660789</v>
      </c>
      <c r="J49" s="1729">
        <f t="shared" si="2"/>
        <v>650231</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 sqref="A4:L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851</v>
      </c>
      <c r="B1" s="2336"/>
      <c r="C1" s="2336"/>
      <c r="D1" s="2336"/>
      <c r="E1" s="2336"/>
      <c r="F1" s="2336"/>
      <c r="G1" s="2337"/>
      <c r="H1" s="1291"/>
      <c r="I1" s="614"/>
      <c r="J1" s="400"/>
    </row>
    <row r="2" spans="1:11" ht="26.25" x14ac:dyDescent="0.2">
      <c r="A2" s="2312" t="s">
        <v>1661</v>
      </c>
      <c r="B2" s="2313"/>
      <c r="C2" s="2313"/>
      <c r="D2" s="2313"/>
      <c r="E2" s="2314"/>
      <c r="F2" s="615" t="s">
        <v>898</v>
      </c>
      <c r="G2" s="616" t="s">
        <v>1658</v>
      </c>
      <c r="H2" s="616" t="s">
        <v>407</v>
      </c>
      <c r="I2" s="616" t="s">
        <v>1150</v>
      </c>
      <c r="J2" s="616" t="s">
        <v>1792</v>
      </c>
      <c r="K2" s="616" t="s">
        <v>137</v>
      </c>
    </row>
    <row r="3" spans="1:11" x14ac:dyDescent="0.2">
      <c r="A3" s="2315" t="str">
        <f>"Cash Basis Fund Balance as of July 1, "&amp;'AFR20'!E2-1</f>
        <v>Cash Basis Fund Balance as of July 1, 2019</v>
      </c>
      <c r="B3" s="2316"/>
      <c r="C3" s="2316"/>
      <c r="D3" s="2316"/>
      <c r="E3" s="2317"/>
      <c r="F3" s="617"/>
      <c r="G3" s="1737"/>
      <c r="H3" s="1737"/>
      <c r="I3" s="1737"/>
      <c r="J3" s="1738">
        <v>151074</v>
      </c>
      <c r="K3" s="1738"/>
    </row>
    <row r="4" spans="1:11" x14ac:dyDescent="0.2">
      <c r="A4" s="2318" t="s">
        <v>366</v>
      </c>
      <c r="B4" s="2319"/>
      <c r="C4" s="2319"/>
      <c r="D4" s="2319"/>
      <c r="E4" s="2300"/>
      <c r="F4" s="620"/>
      <c r="G4" s="1739"/>
      <c r="H4" s="1740"/>
      <c r="I4" s="1739"/>
      <c r="J4" s="1741"/>
      <c r="K4" s="1741"/>
    </row>
    <row r="5" spans="1:11" x14ac:dyDescent="0.2">
      <c r="A5" s="2338" t="s">
        <v>1062</v>
      </c>
      <c r="B5" s="2309"/>
      <c r="C5" s="2309"/>
      <c r="D5" s="2309"/>
      <c r="E5" s="2339"/>
      <c r="F5" s="622" t="s">
        <v>843</v>
      </c>
      <c r="G5" s="1742"/>
      <c r="H5" s="1737">
        <v>9767</v>
      </c>
      <c r="I5" s="1743"/>
      <c r="J5" s="1744"/>
      <c r="K5" s="1744"/>
    </row>
    <row r="6" spans="1:11" x14ac:dyDescent="0.2">
      <c r="A6" s="625" t="s">
        <v>715</v>
      </c>
      <c r="B6" s="626"/>
      <c r="C6" s="626"/>
      <c r="D6" s="626"/>
      <c r="E6" s="627"/>
      <c r="F6" s="628" t="s">
        <v>844</v>
      </c>
      <c r="G6" s="1737"/>
      <c r="H6" s="1737"/>
      <c r="I6" s="1737"/>
      <c r="J6" s="1738">
        <v>1060</v>
      </c>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v>112364</v>
      </c>
      <c r="K8" s="1741"/>
    </row>
    <row r="9" spans="1:11" x14ac:dyDescent="0.2">
      <c r="A9" s="629" t="s">
        <v>137</v>
      </c>
      <c r="B9" s="630"/>
      <c r="C9" s="630"/>
      <c r="D9" s="630"/>
      <c r="E9" s="631"/>
      <c r="F9" s="628" t="s">
        <v>848</v>
      </c>
      <c r="G9" s="1746"/>
      <c r="H9" s="1742"/>
      <c r="I9" s="1742"/>
      <c r="J9" s="1745"/>
      <c r="K9" s="1738"/>
    </row>
    <row r="10" spans="1:11" x14ac:dyDescent="0.2">
      <c r="A10" s="2338" t="s">
        <v>1793</v>
      </c>
      <c r="B10" s="2309"/>
      <c r="C10" s="2309"/>
      <c r="D10" s="2309"/>
      <c r="E10" s="2340"/>
      <c r="F10" s="633" t="s">
        <v>857</v>
      </c>
      <c r="G10" s="1746"/>
      <c r="H10" s="1747"/>
      <c r="I10" s="1737"/>
      <c r="J10" s="1738"/>
      <c r="K10" s="1738"/>
    </row>
    <row r="11" spans="1:11" x14ac:dyDescent="0.2">
      <c r="A11" s="2338" t="s">
        <v>159</v>
      </c>
      <c r="B11" s="2309"/>
      <c r="C11" s="2309"/>
      <c r="D11" s="2309"/>
      <c r="E11" s="2339"/>
      <c r="F11" s="622" t="s">
        <v>847</v>
      </c>
      <c r="G11" s="1742"/>
      <c r="H11" s="1737"/>
      <c r="I11" s="1737"/>
      <c r="J11" s="1738"/>
      <c r="K11" s="1744"/>
    </row>
    <row r="12" spans="1:11" ht="13.5" thickBot="1" x14ac:dyDescent="0.25">
      <c r="A12" s="2326" t="s">
        <v>899</v>
      </c>
      <c r="B12" s="2327"/>
      <c r="C12" s="2327"/>
      <c r="D12" s="2327"/>
      <c r="E12" s="2328"/>
      <c r="F12" s="1426"/>
      <c r="G12" s="1748">
        <f>SUM(G5:G11)</f>
        <v>0</v>
      </c>
      <c r="H12" s="1748">
        <f>SUM(H5:H11)</f>
        <v>9767</v>
      </c>
      <c r="I12" s="1748">
        <f>SUM(I5:I11)</f>
        <v>0</v>
      </c>
      <c r="J12" s="1748">
        <f>SUM(J5:J11)</f>
        <v>113424</v>
      </c>
      <c r="K12" s="1748">
        <f>SUM(K5:K11)</f>
        <v>0</v>
      </c>
    </row>
    <row r="13" spans="1:11" ht="13.5" thickTop="1" x14ac:dyDescent="0.2">
      <c r="A13" s="2320" t="s">
        <v>367</v>
      </c>
      <c r="B13" s="2321"/>
      <c r="C13" s="2321"/>
      <c r="D13" s="2321"/>
      <c r="E13" s="2322"/>
      <c r="F13" s="634"/>
      <c r="G13" s="1749"/>
      <c r="H13" s="1750"/>
      <c r="I13" s="1751"/>
      <c r="J13" s="1751"/>
      <c r="K13" s="1751"/>
    </row>
    <row r="14" spans="1:11" x14ac:dyDescent="0.2">
      <c r="A14" s="2344" t="s">
        <v>453</v>
      </c>
      <c r="B14" s="2344"/>
      <c r="C14" s="2344"/>
      <c r="D14" s="2344"/>
      <c r="E14" s="2345"/>
      <c r="F14" s="635" t="s">
        <v>849</v>
      </c>
      <c r="G14" s="1746"/>
      <c r="H14" s="1737">
        <v>9767</v>
      </c>
      <c r="I14" s="1742"/>
      <c r="J14" s="1744"/>
      <c r="K14" s="1738"/>
    </row>
    <row r="15" spans="1:11" x14ac:dyDescent="0.2">
      <c r="A15" s="2309" t="s">
        <v>4</v>
      </c>
      <c r="B15" s="2309"/>
      <c r="C15" s="2309"/>
      <c r="D15" s="2309"/>
      <c r="E15" s="2339"/>
      <c r="F15" s="635" t="s">
        <v>850</v>
      </c>
      <c r="G15" s="1742"/>
      <c r="H15" s="1737"/>
      <c r="I15" s="1737"/>
      <c r="J15" s="1738">
        <f>96018+262</f>
        <v>96280</v>
      </c>
      <c r="K15" s="1738"/>
    </row>
    <row r="16" spans="1:11" x14ac:dyDescent="0.2">
      <c r="A16" s="2309" t="s">
        <v>295</v>
      </c>
      <c r="B16" s="2309"/>
      <c r="C16" s="2309"/>
      <c r="D16" s="2309"/>
      <c r="E16" s="2339"/>
      <c r="F16" s="635" t="s">
        <v>917</v>
      </c>
      <c r="G16" s="1743"/>
      <c r="H16" s="1739"/>
      <c r="I16" s="1739"/>
      <c r="J16" s="1741"/>
      <c r="K16" s="1741"/>
    </row>
    <row r="17" spans="1:15" x14ac:dyDescent="0.2">
      <c r="A17" s="2333" t="s">
        <v>929</v>
      </c>
      <c r="B17" s="2333"/>
      <c r="C17" s="2333"/>
      <c r="D17" s="2333"/>
      <c r="E17" s="2334"/>
      <c r="F17" s="636"/>
      <c r="G17" s="1752"/>
      <c r="H17" s="1753"/>
      <c r="I17" s="1753"/>
      <c r="J17" s="1754"/>
      <c r="K17" s="1755"/>
    </row>
    <row r="18" spans="1:15" x14ac:dyDescent="0.2">
      <c r="A18" s="2323" t="s">
        <v>365</v>
      </c>
      <c r="B18" s="2324"/>
      <c r="C18" s="2324"/>
      <c r="D18" s="2324"/>
      <c r="E18" s="2325"/>
      <c r="F18" s="635" t="s">
        <v>926</v>
      </c>
      <c r="G18" s="1746"/>
      <c r="H18" s="1746"/>
      <c r="I18" s="1746"/>
      <c r="J18" s="1738"/>
      <c r="K18" s="1756"/>
    </row>
    <row r="19" spans="1:15" ht="21.75" customHeight="1" x14ac:dyDescent="0.2">
      <c r="A19" s="2346" t="s">
        <v>1789</v>
      </c>
      <c r="B19" s="2346"/>
      <c r="C19" s="2346"/>
      <c r="D19" s="2346"/>
      <c r="E19" s="2347"/>
      <c r="F19" s="635" t="s">
        <v>927</v>
      </c>
      <c r="G19" s="1746"/>
      <c r="H19" s="1746"/>
      <c r="I19" s="1746"/>
      <c r="J19" s="1738"/>
      <c r="K19" s="1756"/>
    </row>
    <row r="20" spans="1:15" x14ac:dyDescent="0.2">
      <c r="A20" s="2323" t="s">
        <v>1794</v>
      </c>
      <c r="B20" s="2324"/>
      <c r="C20" s="2324"/>
      <c r="D20" s="2324"/>
      <c r="E20" s="2325"/>
      <c r="F20" s="635" t="s">
        <v>928</v>
      </c>
      <c r="G20" s="1746"/>
      <c r="H20" s="1746"/>
      <c r="I20" s="1746"/>
      <c r="J20" s="1738"/>
      <c r="K20" s="1756"/>
    </row>
    <row r="21" spans="1:15" ht="13.5" thickBot="1" x14ac:dyDescent="0.25">
      <c r="A21" s="2329" t="s">
        <v>633</v>
      </c>
      <c r="B21" s="2329"/>
      <c r="C21" s="2329"/>
      <c r="D21" s="2329"/>
      <c r="E21" s="2329"/>
      <c r="F21" s="1427"/>
      <c r="G21" s="1753"/>
      <c r="H21" s="1757"/>
      <c r="I21" s="1757"/>
      <c r="J21" s="1758">
        <f>SUM(J18:J20)</f>
        <v>0</v>
      </c>
      <c r="K21" s="1754"/>
    </row>
    <row r="22" spans="1:15" ht="13.5" thickTop="1" x14ac:dyDescent="0.2">
      <c r="A22" s="2309" t="s">
        <v>1795</v>
      </c>
      <c r="B22" s="2309"/>
      <c r="C22" s="2309"/>
      <c r="D22" s="2309"/>
      <c r="E22" s="2339"/>
      <c r="F22" s="635" t="s">
        <v>857</v>
      </c>
      <c r="G22" s="1746"/>
      <c r="H22" s="1737"/>
      <c r="I22" s="1737"/>
      <c r="J22" s="1759"/>
      <c r="K22" s="1738"/>
    </row>
    <row r="23" spans="1:15" ht="13.5" thickBot="1" x14ac:dyDescent="0.25">
      <c r="A23" s="2330" t="s">
        <v>900</v>
      </c>
      <c r="B23" s="2329"/>
      <c r="C23" s="2329"/>
      <c r="D23" s="2329"/>
      <c r="E23" s="2329"/>
      <c r="F23" s="1429"/>
      <c r="G23" s="1748">
        <f>SUM(G14:G16,G21,G22)</f>
        <v>0</v>
      </c>
      <c r="H23" s="1748">
        <f>SUM(H14:H16,H21,H22)</f>
        <v>9767</v>
      </c>
      <c r="I23" s="1748">
        <f>SUM(I14:I16,I21,I22)</f>
        <v>0</v>
      </c>
      <c r="J23" s="1748">
        <f>SUM(J14:J16,J21,J22)</f>
        <v>96280</v>
      </c>
      <c r="K23" s="1748">
        <f>SUM(K14:K16,K21,K22)</f>
        <v>0</v>
      </c>
      <c r="M23" s="1839"/>
      <c r="N23" s="1839"/>
      <c r="O23" s="1839"/>
    </row>
    <row r="24" spans="1:15" ht="14.25" thickTop="1" thickBot="1" x14ac:dyDescent="0.25">
      <c r="A24" s="2331" t="str">
        <f>"Ending Cash Basis Fund Balance as of June 30, "&amp;'AFR20'!E2</f>
        <v>Ending Cash Basis Fund Balance as of June 30, 2020</v>
      </c>
      <c r="B24" s="2332"/>
      <c r="C24" s="2332"/>
      <c r="D24" s="2332"/>
      <c r="E24" s="2332"/>
      <c r="F24" s="1430"/>
      <c r="G24" s="1760">
        <f>SUM(G3,G12)-G23</f>
        <v>0</v>
      </c>
      <c r="H24" s="1760">
        <f>SUM(H3,H12)-H23</f>
        <v>0</v>
      </c>
      <c r="I24" s="1760">
        <f>SUM(I3,I12)-I23</f>
        <v>0</v>
      </c>
      <c r="J24" s="1760">
        <f>SUM(J3,J12)-J23</f>
        <v>168218</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168218</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1"/>
      <c r="I31" s="2342"/>
      <c r="J31" s="2342"/>
      <c r="K31" s="2342"/>
    </row>
    <row r="32" spans="1:15" x14ac:dyDescent="0.2">
      <c r="A32" s="649"/>
      <c r="B32" s="232"/>
      <c r="C32" s="232"/>
      <c r="D32" s="232"/>
      <c r="E32" s="645"/>
      <c r="F32" s="651" t="s">
        <v>537</v>
      </c>
      <c r="G32" s="618"/>
      <c r="H32" s="2343"/>
      <c r="I32" s="2342"/>
      <c r="J32" s="2342"/>
      <c r="K32" s="2342"/>
    </row>
    <row r="33" spans="1:11" ht="1.5" customHeight="1" x14ac:dyDescent="0.2">
      <c r="A33" s="652" t="s">
        <v>1161</v>
      </c>
      <c r="B33" s="341"/>
      <c r="C33" s="341"/>
      <c r="D33" s="341"/>
      <c r="E33" s="341"/>
      <c r="F33" s="341"/>
      <c r="G33" s="653"/>
      <c r="H33" s="2343"/>
      <c r="I33" s="2342"/>
      <c r="J33" s="2342"/>
      <c r="K33" s="234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9" t="s">
        <v>538</v>
      </c>
      <c r="B41" s="2310"/>
      <c r="C41" s="2310"/>
      <c r="D41" s="2310"/>
      <c r="E41" s="2310"/>
      <c r="F41" s="231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L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1878</v>
      </c>
      <c r="B1" s="2351"/>
      <c r="C1" s="2352"/>
      <c r="D1" s="666"/>
      <c r="E1" s="667"/>
      <c r="F1" s="667"/>
      <c r="G1" s="668"/>
      <c r="H1" s="669"/>
      <c r="I1" s="670"/>
      <c r="J1" s="2348"/>
      <c r="K1" s="2349"/>
      <c r="L1" s="2349"/>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38961</v>
      </c>
      <c r="D5" s="1763"/>
      <c r="E5" s="1763"/>
      <c r="F5" s="1758">
        <f>(C5+D5)-E5</f>
        <v>38961</v>
      </c>
      <c r="G5" s="676"/>
      <c r="H5" s="680"/>
      <c r="I5" s="680"/>
      <c r="J5" s="680"/>
      <c r="K5" s="637"/>
      <c r="L5" s="1435">
        <f>F5-K5</f>
        <v>38961</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3370748</v>
      </c>
      <c r="D8" s="1764">
        <v>42308</v>
      </c>
      <c r="E8" s="1764"/>
      <c r="F8" s="1758">
        <f>(C8+D8)-E8</f>
        <v>3413056</v>
      </c>
      <c r="G8" s="681">
        <v>50</v>
      </c>
      <c r="H8" s="619">
        <v>2246516</v>
      </c>
      <c r="I8" s="619">
        <v>68261</v>
      </c>
      <c r="J8" s="619"/>
      <c r="K8" s="1435">
        <f>(H8+I8)-J8</f>
        <v>2314777</v>
      </c>
      <c r="L8" s="1435">
        <f>F8-K8</f>
        <v>1098279</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56161</v>
      </c>
      <c r="D10" s="1765"/>
      <c r="E10" s="1765"/>
      <c r="F10" s="1766">
        <f>(C10+D10)-E10</f>
        <v>56161</v>
      </c>
      <c r="G10" s="681">
        <v>20</v>
      </c>
      <c r="H10" s="683">
        <v>49456</v>
      </c>
      <c r="I10" s="683">
        <v>335</v>
      </c>
      <c r="J10" s="683"/>
      <c r="K10" s="1435">
        <f>(H10+I10)-J10</f>
        <v>49791</v>
      </c>
      <c r="L10" s="1435">
        <f>F10-K10</f>
        <v>6370</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1739694</v>
      </c>
      <c r="D12" s="1764">
        <v>93683</v>
      </c>
      <c r="E12" s="1764">
        <v>19580</v>
      </c>
      <c r="F12" s="1758">
        <f>(C12+D12)-E12</f>
        <v>1813797</v>
      </c>
      <c r="G12" s="681">
        <v>10</v>
      </c>
      <c r="H12" s="619">
        <v>992498</v>
      </c>
      <c r="I12" s="619">
        <v>84088</v>
      </c>
      <c r="J12" s="619">
        <v>19580</v>
      </c>
      <c r="K12" s="1435">
        <f>(H12+I12)-J12</f>
        <v>1057006</v>
      </c>
      <c r="L12" s="1435">
        <f>F12-K12</f>
        <v>756791</v>
      </c>
    </row>
    <row r="13" spans="1:14" ht="14.25" thickTop="1" thickBot="1" x14ac:dyDescent="0.25">
      <c r="A13" s="684" t="s">
        <v>1114</v>
      </c>
      <c r="B13" s="679">
        <v>252</v>
      </c>
      <c r="C13" s="1764">
        <v>1011947</v>
      </c>
      <c r="D13" s="1764">
        <v>236359</v>
      </c>
      <c r="E13" s="1764">
        <v>149468</v>
      </c>
      <c r="F13" s="1758">
        <f>(C13+D13)-E13</f>
        <v>1098838</v>
      </c>
      <c r="G13" s="681">
        <v>5</v>
      </c>
      <c r="H13" s="619">
        <v>813435</v>
      </c>
      <c r="I13" s="619">
        <v>68278</v>
      </c>
      <c r="J13" s="619">
        <v>66828</v>
      </c>
      <c r="K13" s="1435">
        <f>(H13+I13)-J13</f>
        <v>814885</v>
      </c>
      <c r="L13" s="1435">
        <f>F13-K13</f>
        <v>283953</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6217511</v>
      </c>
      <c r="D16" s="1758">
        <f>SUM(D3,D5:D6,D8:D10,D12:D15)</f>
        <v>372350</v>
      </c>
      <c r="E16" s="1758">
        <f>SUM(E3,E5:E6,E8:E10,E12:E15)</f>
        <v>169048</v>
      </c>
      <c r="F16" s="1758">
        <f>SUM(F3,F5:F6,F8:F10,F12:F15)</f>
        <v>6420813</v>
      </c>
      <c r="G16" s="681"/>
      <c r="H16" s="1428">
        <f>SUM(H3,H6,H8:H10,H12:H14,)</f>
        <v>4101905</v>
      </c>
      <c r="I16" s="1428">
        <f>SUM(I3,I6,I8:I10,I12:I14,)</f>
        <v>220962</v>
      </c>
      <c r="J16" s="1428">
        <f>SUM(J3,J6,J8:J10,J12:J14,)</f>
        <v>86408</v>
      </c>
      <c r="K16" s="1428">
        <f>(H16+I16)-J16</f>
        <v>4236459</v>
      </c>
      <c r="L16" s="1428">
        <f>F16-K16</f>
        <v>2184354</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220962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2" activePane="bottomLeft" state="frozen"/>
      <selection activeCell="A4" sqref="A4:L4"/>
      <selection pane="bottomLeft" activeCell="A4" sqref="A4:L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474</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3828310</v>
      </c>
      <c r="G8" s="701"/>
    </row>
    <row r="9" spans="1:9" x14ac:dyDescent="0.2">
      <c r="A9" s="705" t="s">
        <v>457</v>
      </c>
      <c r="B9" s="706" t="s">
        <v>1851</v>
      </c>
      <c r="C9" s="707"/>
      <c r="D9" s="705" t="s">
        <v>498</v>
      </c>
      <c r="E9" s="704"/>
      <c r="F9" s="1768">
        <f>'Expenditures 15-22'!K151</f>
        <v>278194</v>
      </c>
      <c r="G9" s="708"/>
    </row>
    <row r="10" spans="1:9" x14ac:dyDescent="0.2">
      <c r="A10" s="705" t="s">
        <v>496</v>
      </c>
      <c r="B10" s="706" t="s">
        <v>1852</v>
      </c>
      <c r="C10" s="707"/>
      <c r="D10" s="705" t="s">
        <v>498</v>
      </c>
      <c r="E10" s="704"/>
      <c r="F10" s="1768">
        <f>'Expenditures 15-22'!K174</f>
        <v>108712</v>
      </c>
      <c r="G10" s="708"/>
    </row>
    <row r="11" spans="1:9" x14ac:dyDescent="0.2">
      <c r="A11" s="705" t="s">
        <v>458</v>
      </c>
      <c r="B11" s="706" t="s">
        <v>1853</v>
      </c>
      <c r="C11" s="707"/>
      <c r="D11" s="705" t="s">
        <v>498</v>
      </c>
      <c r="E11" s="704"/>
      <c r="F11" s="1768">
        <f>'Expenditures 15-22'!K210</f>
        <v>398206</v>
      </c>
      <c r="G11" s="708"/>
    </row>
    <row r="12" spans="1:9" x14ac:dyDescent="0.2">
      <c r="A12" s="705" t="s">
        <v>459</v>
      </c>
      <c r="B12" s="706" t="s">
        <v>1854</v>
      </c>
      <c r="C12" s="707"/>
      <c r="D12" s="705" t="s">
        <v>498</v>
      </c>
      <c r="E12" s="704"/>
      <c r="F12" s="1768">
        <f>'Expenditures 15-22'!K295</f>
        <v>170705</v>
      </c>
      <c r="G12" s="708"/>
    </row>
    <row r="13" spans="1:9" x14ac:dyDescent="0.2">
      <c r="A13" s="705" t="s">
        <v>106</v>
      </c>
      <c r="B13" s="706" t="s">
        <v>1855</v>
      </c>
      <c r="C13" s="707"/>
      <c r="D13" s="705" t="s">
        <v>498</v>
      </c>
      <c r="E13" s="704"/>
      <c r="F13" s="1768">
        <f>'Expenditures 15-22'!K342</f>
        <v>75320</v>
      </c>
      <c r="G13" s="709"/>
    </row>
    <row r="14" spans="1:9" ht="12" customHeight="1" thickBot="1" x14ac:dyDescent="0.25">
      <c r="A14" s="1436"/>
      <c r="B14" s="1437"/>
      <c r="C14" s="1438"/>
      <c r="D14" s="1439" t="s">
        <v>498</v>
      </c>
      <c r="E14" s="1440" t="s">
        <v>952</v>
      </c>
      <c r="F14" s="1769">
        <f>SUM(F8:F13)</f>
        <v>4859447</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86021</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89484</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181420</v>
      </c>
      <c r="G52" s="701"/>
    </row>
    <row r="53" spans="1:7" x14ac:dyDescent="0.2">
      <c r="A53" s="705" t="s">
        <v>456</v>
      </c>
      <c r="B53" s="705" t="s">
        <v>1461</v>
      </c>
      <c r="C53" s="724">
        <f>'Expenditures 15-22'!B102</f>
        <v>4000</v>
      </c>
      <c r="D53" s="723" t="str">
        <f>'Expenditures 15-22'!A102</f>
        <v>Total Payments to Other Govt Units</v>
      </c>
      <c r="E53" s="704"/>
      <c r="F53" s="1775">
        <f>'Expenditures 15-22'!K102</f>
        <v>92902</v>
      </c>
      <c r="G53" s="701"/>
    </row>
    <row r="54" spans="1:7" x14ac:dyDescent="0.2">
      <c r="A54" s="705" t="s">
        <v>456</v>
      </c>
      <c r="B54" s="705" t="s">
        <v>1462</v>
      </c>
      <c r="C54" s="724" t="s">
        <v>975</v>
      </c>
      <c r="D54" s="720" t="s">
        <v>1088</v>
      </c>
      <c r="E54" s="704"/>
      <c r="F54" s="1775">
        <f>'Expenditures 15-22'!G114</f>
        <v>59834</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41148</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95000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36888</v>
      </c>
      <c r="G64" s="701"/>
    </row>
    <row r="65" spans="1:9" x14ac:dyDescent="0.2">
      <c r="A65" s="705" t="s">
        <v>458</v>
      </c>
      <c r="B65" s="705" t="s">
        <v>1864</v>
      </c>
      <c r="C65" s="721" t="s">
        <v>975</v>
      </c>
      <c r="D65" s="720" t="s">
        <v>1088</v>
      </c>
      <c r="E65" s="704"/>
      <c r="F65" s="1775">
        <f>'Expenditures 15-22'!G210</f>
        <v>63682</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4870</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24560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0</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775809</v>
      </c>
      <c r="G77" s="701"/>
    </row>
    <row r="78" spans="1:9" s="728" customFormat="1" ht="12" customHeight="1" thickTop="1" thickBot="1" x14ac:dyDescent="0.25">
      <c r="A78" s="1443"/>
      <c r="B78" s="1441"/>
      <c r="C78" s="1438"/>
      <c r="D78" s="1442" t="s">
        <v>2015</v>
      </c>
      <c r="E78" s="1440"/>
      <c r="F78" s="1781">
        <f>(F14-F77)</f>
        <v>4083638</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332.4</v>
      </c>
      <c r="G79" s="733"/>
      <c r="H79" s="705"/>
      <c r="I79" s="705"/>
    </row>
    <row r="80" spans="1:9" s="728" customFormat="1" ht="12" customHeight="1" thickBot="1" x14ac:dyDescent="0.25">
      <c r="A80" s="1445"/>
      <c r="B80" s="1441"/>
      <c r="C80" s="1438"/>
      <c r="D80" s="1442" t="s">
        <v>2016</v>
      </c>
      <c r="E80" s="1440" t="s">
        <v>952</v>
      </c>
      <c r="F80" s="1783">
        <f>IF(F79&gt;0,F78/F79," Complete Line 79")</f>
        <v>12285.312876052949</v>
      </c>
      <c r="G80" s="705"/>
    </row>
    <row r="81" spans="1:7" s="728" customFormat="1" ht="8.25" customHeight="1" thickTop="1" x14ac:dyDescent="0.2">
      <c r="A81" s="734"/>
      <c r="B81" s="705"/>
      <c r="C81" s="707"/>
      <c r="D81" s="735"/>
      <c r="E81" s="704"/>
      <c r="F81" s="1784"/>
      <c r="G81" s="705"/>
    </row>
    <row r="82" spans="1:7" s="728" customFormat="1" ht="12" thickBot="1" x14ac:dyDescent="0.25">
      <c r="A82" s="2353" t="s">
        <v>1098</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3674</v>
      </c>
      <c r="G95" s="745"/>
    </row>
    <row r="96" spans="1:7" x14ac:dyDescent="0.2">
      <c r="A96" s="741" t="s">
        <v>139</v>
      </c>
      <c r="B96" s="741" t="s">
        <v>174</v>
      </c>
      <c r="C96" s="743">
        <v>1700</v>
      </c>
      <c r="D96" s="751" t="str">
        <f>'Revenues 9-14'!A82</f>
        <v>Total District/School Activity Income</v>
      </c>
      <c r="E96" s="739"/>
      <c r="F96" s="1786">
        <f>SUM('Revenues 9-14'!C82,'Revenues 9-14'!D82)</f>
        <v>4056</v>
      </c>
      <c r="G96" s="745"/>
    </row>
    <row r="97" spans="1:7" x14ac:dyDescent="0.2">
      <c r="A97" s="741" t="s">
        <v>456</v>
      </c>
      <c r="B97" s="741" t="s">
        <v>175</v>
      </c>
      <c r="C97" s="743">
        <f>'Revenues 9-14'!B84</f>
        <v>1811</v>
      </c>
      <c r="D97" s="744" t="str">
        <f>'Revenues 9-14'!A84</f>
        <v>Rentals - Regular Textbooks</v>
      </c>
      <c r="E97" s="739"/>
      <c r="F97" s="1786">
        <f>'Revenues 9-14'!C84</f>
        <v>14689</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173174</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59529</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16452</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2003</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2683</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195166</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6714</v>
      </c>
      <c r="G125" s="763"/>
    </row>
    <row r="126" spans="1:7" x14ac:dyDescent="0.2">
      <c r="A126" s="760" t="s">
        <v>659</v>
      </c>
      <c r="B126" s="760" t="s">
        <v>1933</v>
      </c>
      <c r="C126" s="765">
        <v>4200</v>
      </c>
      <c r="D126" s="762" t="str">
        <f>'Revenues 9-14'!A198</f>
        <v>Total Food Service</v>
      </c>
      <c r="E126" s="739"/>
      <c r="F126" s="1786">
        <f>SUM('Revenues 9-14'!C198,'Revenues 9-14'!G198)</f>
        <v>126695</v>
      </c>
      <c r="G126" s="763"/>
    </row>
    <row r="127" spans="1:7" x14ac:dyDescent="0.2">
      <c r="A127" s="760" t="s">
        <v>663</v>
      </c>
      <c r="B127" s="760" t="s">
        <v>1934</v>
      </c>
      <c r="C127" s="765">
        <v>4300</v>
      </c>
      <c r="D127" s="766" t="str">
        <f>'Revenues 9-14'!A204</f>
        <v>Total Title I</v>
      </c>
      <c r="E127" s="739"/>
      <c r="F127" s="1786">
        <f>SUM('Revenues 9-14'!C204,'Revenues 9-14'!D204,'Revenues 9-14'!F204,'Revenues 9-14'!G204)</f>
        <v>142474</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13981</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4171</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1535</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9829</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28428</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135071</v>
      </c>
      <c r="G172" s="760"/>
    </row>
    <row r="173" spans="1:7" x14ac:dyDescent="0.2">
      <c r="A173" s="1522" t="s">
        <v>659</v>
      </c>
      <c r="B173" s="1523" t="s">
        <v>1888</v>
      </c>
      <c r="C173" s="1524">
        <v>3300</v>
      </c>
      <c r="D173" s="1525" t="s">
        <v>1891</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940324</v>
      </c>
    </row>
    <row r="176" spans="1:7" ht="12" customHeight="1" x14ac:dyDescent="0.2">
      <c r="A176" s="1436"/>
      <c r="B176" s="1446"/>
      <c r="C176" s="1447"/>
      <c r="D176" s="1448" t="s">
        <v>2017</v>
      </c>
      <c r="E176" s="1449"/>
      <c r="F176" s="1786">
        <f>'PCTC-OEPP 27-28'!F78-F175</f>
        <v>3143314</v>
      </c>
    </row>
    <row r="177" spans="1:9" ht="12" customHeight="1" x14ac:dyDescent="0.2">
      <c r="A177" s="1436"/>
      <c r="B177" s="1446"/>
      <c r="C177" s="1447"/>
      <c r="D177" s="1448" t="s">
        <v>1797</v>
      </c>
      <c r="E177" s="1449"/>
      <c r="F177" s="1786">
        <f>'Cap Outlay Deprec 26'!I18</f>
        <v>220962</v>
      </c>
    </row>
    <row r="178" spans="1:9" ht="12" customHeight="1" x14ac:dyDescent="0.2">
      <c r="A178" s="1436"/>
      <c r="B178" s="1446"/>
      <c r="C178" s="1447"/>
      <c r="D178" s="1448" t="s">
        <v>2018</v>
      </c>
      <c r="E178" s="1449"/>
      <c r="F178" s="1786">
        <f>F176+F177</f>
        <v>3364276</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332.4</v>
      </c>
      <c r="G179" s="763"/>
      <c r="I179" s="701"/>
    </row>
    <row r="180" spans="1:9" ht="12" customHeight="1" thickBot="1" x14ac:dyDescent="0.25">
      <c r="A180" s="1436"/>
      <c r="B180" s="1450"/>
      <c r="C180" s="1447"/>
      <c r="D180" s="1448" t="s">
        <v>2020</v>
      </c>
      <c r="E180" s="1449" t="s">
        <v>1531</v>
      </c>
      <c r="F180" s="1791">
        <f>F178/F179</f>
        <v>10121.167268351384</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4" sqref="A4:L5"/>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367" t="s">
        <v>1798</v>
      </c>
      <c r="B4" s="2368"/>
      <c r="C4" s="2368"/>
      <c r="D4" s="2368"/>
      <c r="E4" s="2368"/>
      <c r="F4" s="2369"/>
    </row>
    <row r="5" spans="1:6" x14ac:dyDescent="0.25">
      <c r="A5" s="2370"/>
      <c r="B5" s="2371"/>
      <c r="C5" s="2371"/>
      <c r="D5" s="2371"/>
      <c r="E5" s="2371"/>
      <c r="F5" s="2372"/>
    </row>
    <row r="6" spans="1:6" ht="18.75" x14ac:dyDescent="0.25">
      <c r="A6" s="1858" t="s">
        <v>1799</v>
      </c>
      <c r="B6" s="1859"/>
      <c r="C6" s="1860"/>
      <c r="D6" s="1860"/>
      <c r="E6" s="1860"/>
      <c r="F6" s="1861"/>
    </row>
    <row r="7" spans="1:6" ht="47.25" customHeight="1" x14ac:dyDescent="0.25">
      <c r="A7" s="2373" t="s">
        <v>1988</v>
      </c>
      <c r="B7" s="2374"/>
      <c r="C7" s="2374"/>
      <c r="D7" s="2374"/>
      <c r="E7" s="2374"/>
      <c r="F7" s="2375"/>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376" t="s">
        <v>1984</v>
      </c>
      <c r="B10" s="2377"/>
      <c r="C10" s="2377"/>
      <c r="D10" s="2377"/>
      <c r="E10" s="2377"/>
      <c r="F10" s="2378"/>
    </row>
    <row r="11" spans="1:6" ht="33" customHeight="1" x14ac:dyDescent="0.25">
      <c r="A11" s="2373" t="s">
        <v>1989</v>
      </c>
      <c r="B11" s="2374"/>
      <c r="C11" s="2374"/>
      <c r="D11" s="2374"/>
      <c r="E11" s="2374"/>
      <c r="F11" s="2375"/>
    </row>
    <row r="12" spans="1:6" ht="15" customHeight="1" x14ac:dyDescent="0.25">
      <c r="A12" s="1864" t="s">
        <v>1985</v>
      </c>
      <c r="B12" s="1865"/>
      <c r="C12" s="1866"/>
      <c r="D12" s="1866"/>
      <c r="E12" s="1866"/>
      <c r="F12" s="1867"/>
    </row>
    <row r="13" spans="1:6" ht="17.25" customHeight="1" x14ac:dyDescent="0.25">
      <c r="A13" s="2373" t="s">
        <v>1986</v>
      </c>
      <c r="B13" s="2374"/>
      <c r="C13" s="2374"/>
      <c r="D13" s="2374"/>
      <c r="E13" s="2374"/>
      <c r="F13" s="2375"/>
    </row>
    <row r="14" spans="1:6" ht="15" customHeight="1" x14ac:dyDescent="0.25">
      <c r="A14" s="1864" t="s">
        <v>1803</v>
      </c>
      <c r="B14" s="1865"/>
      <c r="C14" s="1866"/>
      <c r="D14" s="1866"/>
      <c r="E14" s="1866"/>
      <c r="F14" s="1867"/>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1" t="s">
        <v>2042</v>
      </c>
      <c r="B18" s="1899"/>
      <c r="C18" s="1904"/>
      <c r="D18" s="1877"/>
      <c r="E18" s="1897">
        <f t="shared" ref="E18:E81" si="0">IF(D18&lt;25000,D18,"25,000")</f>
        <v>0</v>
      </c>
      <c r="F18" s="1897" t="str">
        <f t="shared" ref="F18:F81" si="1">IF(D18&gt;=25000,(D18-E18),"0")</f>
        <v>0</v>
      </c>
      <c r="G18" s="1878"/>
    </row>
    <row r="19" spans="1:7" x14ac:dyDescent="0.25">
      <c r="A19" s="1879"/>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912"/>
      <c r="E141" s="1897">
        <f t="shared" si="2"/>
        <v>0</v>
      </c>
      <c r="F141" s="1897" t="str">
        <f t="shared" si="3"/>
        <v>0</v>
      </c>
    </row>
    <row r="142" spans="1:6" x14ac:dyDescent="0.25">
      <c r="A142" s="1881" t="s">
        <v>155</v>
      </c>
      <c r="B142" s="1902"/>
      <c r="C142" s="1882"/>
      <c r="D142" s="1883">
        <f>SUM(D18:D141)</f>
        <v>0</v>
      </c>
      <c r="E142" s="1884">
        <f>SUM(E18:E141)</f>
        <v>0</v>
      </c>
      <c r="F142" s="188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4" sqref="A4:L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9" t="s">
        <v>1663</v>
      </c>
      <c r="B5" s="2380"/>
      <c r="C5" s="2380"/>
      <c r="D5" s="2380"/>
      <c r="E5" s="2380"/>
      <c r="F5" s="2380"/>
      <c r="G5" s="2381"/>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f>114897+719</f>
        <v>115616</v>
      </c>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794">
        <v>15838</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2493291</v>
      </c>
      <c r="F19" s="1795"/>
      <c r="G19" s="1797">
        <f>'Expenditures 15-22'!K33-SUM('Expenditures 15-22'!G33,'Expenditures 15-22'!I33)+'Expenditures 15-22'!D229</f>
        <v>2493291</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163493</v>
      </c>
      <c r="F21" s="1798"/>
      <c r="G21" s="1801">
        <f>'Expenditures 15-22'!K42-SUM('Expenditures 15-22'!G42,'Expenditures 15-22'!I42)+'Expenditures 15-22'!K120-SUM('Expenditures 15-22'!G120,'Expenditures 15-22'!I120)+'Expenditures 15-22'!K180-SUM('Expenditures 15-22'!G180,'Expenditures 15-22'!I180)+'Expenditures 15-22'!D238</f>
        <v>163493</v>
      </c>
      <c r="H21" s="817"/>
      <c r="I21" s="157"/>
    </row>
    <row r="22" spans="1:9" s="542" customFormat="1" ht="12" customHeight="1" x14ac:dyDescent="0.2">
      <c r="A22" s="824" t="s">
        <v>560</v>
      </c>
      <c r="B22" s="825"/>
      <c r="C22" s="823">
        <v>2200</v>
      </c>
      <c r="D22" s="1798"/>
      <c r="E22" s="1800">
        <f>'Expenditures 15-22'!K47-SUM('Expenditures 15-22'!G47,'Expenditures 15-22'!I47)+'Expenditures 15-22'!D243</f>
        <v>175743</v>
      </c>
      <c r="F22" s="1798"/>
      <c r="G22" s="1801">
        <f>'Expenditures 15-22'!K47-SUM('Expenditures 15-22'!G47,'Expenditures 15-22'!I47)+'Expenditures 15-22'!D243</f>
        <v>175743</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256325</v>
      </c>
      <c r="F23" s="1798"/>
      <c r="G23" s="1800">
        <f>'Expenditures 15-22'!K53-SUM('Expenditures 15-22'!G53,'Expenditures 15-22'!I53)+'Expenditures 15-22'!D257+'Expenditures 15-22'!K330-SUM('Expenditures 15-22'!G330,'Expenditures 15-22'!I330)</f>
        <v>256325</v>
      </c>
      <c r="H23" s="817"/>
      <c r="I23" s="157"/>
    </row>
    <row r="24" spans="1:9" s="542" customFormat="1" ht="12" customHeight="1" x14ac:dyDescent="0.2">
      <c r="A24" s="824" t="s">
        <v>562</v>
      </c>
      <c r="B24" s="825"/>
      <c r="C24" s="823">
        <v>2400</v>
      </c>
      <c r="D24" s="1798"/>
      <c r="E24" s="1800">
        <f>'Expenditures 15-22'!K57-SUM('Expenditures 15-22'!G57,'Expenditures 15-22'!I57)+'Expenditures 15-22'!D261</f>
        <v>265235</v>
      </c>
      <c r="F24" s="1798"/>
      <c r="G24" s="1801">
        <f>'Expenditures 15-22'!K57-SUM('Expenditures 15-22'!G57,'Expenditures 15-22'!I57)+'Expenditures 15-22'!D261</f>
        <v>265235</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65691</v>
      </c>
      <c r="E27" s="1800">
        <f>E8</f>
        <v>0</v>
      </c>
      <c r="F27" s="1800">
        <f>'Expenditures 15-22'!K60-SUM('Expenditures 15-22'!G60,'Expenditures 15-22'!I60)+'Expenditures 15-22'!D264-E8</f>
        <v>65691</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289910</v>
      </c>
      <c r="F28" s="1802">
        <f>'Expenditures 15-22'!K61-SUM('Expenditures 15-22'!G61,'Expenditures 15-22'!I61)+'Expenditures 15-22'!K124-SUM('Expenditures 15-22'!G124,'Expenditures 15-22'!I124)+'Expenditures 15-22'!D266-E9</f>
        <v>289910</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324688</v>
      </c>
      <c r="F29" s="1798"/>
      <c r="G29" s="1801">
        <f>'Expenditures 15-22'!K62-SUM('Expenditures 15-22'!G62,'Expenditures 15-22'!I62)+'Expenditures 15-22'!K125-SUM('Expenditures 15-22'!G125,'Expenditures 15-22'!I125)+'Expenditures 15-22'!K182-SUM('Expenditures 15-22'!G182,'Expenditures 15-22'!I182)+'Expenditures 15-22'!D267</f>
        <v>324688</v>
      </c>
      <c r="H29" s="815"/>
    </row>
    <row r="30" spans="1:9" ht="12" customHeight="1" x14ac:dyDescent="0.2">
      <c r="A30" s="824" t="s">
        <v>100</v>
      </c>
      <c r="B30" s="827"/>
      <c r="C30" s="823">
        <v>2560</v>
      </c>
      <c r="D30" s="1798"/>
      <c r="E30" s="1800">
        <f>'Expenditures 15-22'!K63-SUM('Expenditures 15-22'!G63,'Expenditures 15-22'!I63)+'Expenditures 15-22'!D268-E10</f>
        <v>100309</v>
      </c>
      <c r="F30" s="1798"/>
      <c r="G30" s="1800">
        <f>'Expenditures 15-22'!K63-SUM('Expenditures 15-22'!G63,'Expenditures 15-22'!I63)+'Expenditures 15-22'!D268-E10</f>
        <v>100309</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205980</v>
      </c>
      <c r="F39" s="1798"/>
      <c r="G39" s="1800">
        <f>'Expenditures 15-22'!K75-SUM('Expenditures 15-22'!G75,'Expenditures 15-22'!I75)+'Expenditures 15-22'!K130-SUM('Expenditures 15-22'!G130,'Expenditures 15-22'!I130)+'Expenditures 15-22'!K185-SUM('Expenditures 15-22'!G185,'Expenditures 15-22'!I185)+'Expenditures 15-22'!D280</f>
        <v>205980</v>
      </c>
    </row>
    <row r="40" spans="1:7" ht="12" customHeight="1" x14ac:dyDescent="0.2">
      <c r="A40" s="820" t="s">
        <v>1801</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65691</v>
      </c>
      <c r="E41" s="1802">
        <f>SUM(E19:E40)</f>
        <v>4274974</v>
      </c>
      <c r="F41" s="1802">
        <f>SUM(F19:F39)</f>
        <v>355601</v>
      </c>
      <c r="G41" s="1802">
        <f>SUM(G19:G40)</f>
        <v>3985064</v>
      </c>
    </row>
    <row r="42" spans="1:7" x14ac:dyDescent="0.2">
      <c r="A42" s="817"/>
      <c r="B42" s="157"/>
      <c r="C42" s="831"/>
      <c r="D42" s="2382" t="s">
        <v>519</v>
      </c>
      <c r="E42" s="2383"/>
      <c r="F42" s="832" t="s">
        <v>520</v>
      </c>
      <c r="G42" s="833"/>
    </row>
    <row r="43" spans="1:7" ht="12" customHeight="1" x14ac:dyDescent="0.2">
      <c r="A43" s="817"/>
      <c r="B43" s="157"/>
      <c r="C43" s="831"/>
      <c r="D43" s="1451" t="s">
        <v>470</v>
      </c>
      <c r="E43" s="1803">
        <f>D41</f>
        <v>65691</v>
      </c>
      <c r="F43" s="1451" t="s">
        <v>470</v>
      </c>
      <c r="G43" s="1803">
        <f>F41</f>
        <v>355601</v>
      </c>
    </row>
    <row r="44" spans="1:7" ht="12" customHeight="1" x14ac:dyDescent="0.2">
      <c r="A44" s="817"/>
      <c r="B44" s="157"/>
      <c r="C44" s="831"/>
      <c r="D44" s="1451" t="s">
        <v>471</v>
      </c>
      <c r="E44" s="1803">
        <f>E41</f>
        <v>4274974</v>
      </c>
      <c r="F44" s="1451" t="s">
        <v>471</v>
      </c>
      <c r="G44" s="1803">
        <f>G41</f>
        <v>3985064</v>
      </c>
    </row>
    <row r="45" spans="1:7" ht="12" customHeight="1" x14ac:dyDescent="0.2">
      <c r="A45" s="817"/>
      <c r="B45" s="157"/>
      <c r="C45" s="157"/>
      <c r="D45" s="1452" t="s">
        <v>999</v>
      </c>
      <c r="E45" s="1804">
        <f>(E43/E44)</f>
        <v>1.5366409245997753E-2</v>
      </c>
      <c r="F45" s="1452" t="s">
        <v>999</v>
      </c>
      <c r="G45" s="1804">
        <f>(G43/G44)</f>
        <v>8.9233447693688225E-2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 sqref="A4:L4"/>
      <selection pane="bottomLeft" activeCell="A4" sqref="A4:L4"/>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390" t="s">
        <v>1365</v>
      </c>
      <c r="B1" s="2390"/>
      <c r="C1" s="2390"/>
      <c r="D1" s="2390"/>
      <c r="E1" s="2390"/>
      <c r="F1" s="2390"/>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391" t="s">
        <v>1532</v>
      </c>
      <c r="B5" s="2392"/>
      <c r="C5" s="2393"/>
      <c r="D5" s="2393"/>
      <c r="E5" s="2393"/>
      <c r="F5" s="2393"/>
      <c r="G5" s="1500"/>
      <c r="L5" s="1500"/>
      <c r="M5" s="1848"/>
      <c r="N5" s="1848"/>
      <c r="O5" s="1848"/>
    </row>
    <row r="6" spans="1:15" ht="12" customHeight="1" x14ac:dyDescent="0.25">
      <c r="A6" s="1473"/>
      <c r="B6" s="1474"/>
      <c r="C6" s="2394" t="str">
        <f>COVER!A17</f>
        <v xml:space="preserve">   Northwestern CUSD 2</v>
      </c>
      <c r="D6" s="2394"/>
      <c r="E6" s="2394"/>
      <c r="F6" s="1475"/>
      <c r="G6" s="1500"/>
      <c r="L6" s="1500"/>
      <c r="M6" s="1848"/>
      <c r="N6" s="1848"/>
      <c r="O6" s="1848"/>
    </row>
    <row r="7" spans="1:15" ht="11.25" customHeight="1" thickBot="1" x14ac:dyDescent="0.3">
      <c r="A7" s="1473"/>
      <c r="B7" s="1474"/>
      <c r="C7" s="2395">
        <f>COVER!A13</f>
        <v>40056002026</v>
      </c>
      <c r="D7" s="2395"/>
      <c r="E7" s="2395"/>
      <c r="F7" s="1475"/>
      <c r="G7" s="1500"/>
      <c r="L7" s="1500"/>
      <c r="M7" s="1848"/>
      <c r="N7" s="1848"/>
      <c r="O7" s="1848"/>
    </row>
    <row r="8" spans="1:15" ht="25.5" customHeight="1" thickBot="1" x14ac:dyDescent="0.25">
      <c r="A8" s="1512" t="s">
        <v>1877</v>
      </c>
      <c r="B8" s="1476" t="s">
        <v>2021</v>
      </c>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c r="D26" s="1488"/>
      <c r="E26" s="1491"/>
      <c r="F26" s="1490"/>
      <c r="G26" s="1500"/>
      <c r="H26" s="1500">
        <f t="shared" si="0"/>
        <v>0</v>
      </c>
      <c r="I26" s="1500">
        <f t="shared" si="1"/>
        <v>0</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0</v>
      </c>
      <c r="I34" s="1500">
        <f>SUM(I11:I32)</f>
        <v>0</v>
      </c>
      <c r="J34" s="1500">
        <f>SUM(J11:J32)</f>
        <v>0</v>
      </c>
      <c r="K34" s="1500">
        <f>SUM(H34:J34)</f>
        <v>0</v>
      </c>
      <c r="L34" s="1500"/>
      <c r="M34" s="1848"/>
      <c r="N34" s="1848"/>
      <c r="O34" s="1848"/>
    </row>
    <row r="35" spans="1:15" ht="12" customHeight="1" x14ac:dyDescent="0.2">
      <c r="A35" s="1493" t="s">
        <v>1378</v>
      </c>
      <c r="B35" s="1494"/>
      <c r="C35" s="2396"/>
      <c r="D35" s="2396"/>
      <c r="E35" s="2396"/>
      <c r="F35" s="2397"/>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401"/>
      <c r="B38" s="2402"/>
      <c r="C38" s="2402"/>
      <c r="D38" s="2402"/>
      <c r="E38" s="2402"/>
      <c r="F38" s="2403"/>
    </row>
    <row r="39" spans="1:15" ht="4.5" hidden="1" customHeight="1" x14ac:dyDescent="0.2">
      <c r="A39" s="1495"/>
      <c r="B39" s="1495"/>
      <c r="C39" s="1495"/>
      <c r="D39" s="1495"/>
      <c r="E39" s="1495"/>
      <c r="F39" s="1495"/>
    </row>
    <row r="40" spans="1:15" s="1492" customFormat="1" ht="12" customHeight="1" x14ac:dyDescent="0.25">
      <c r="A40" s="1496" t="s">
        <v>1377</v>
      </c>
      <c r="B40" s="1497"/>
      <c r="C40" s="2404"/>
      <c r="D40" s="2404"/>
      <c r="E40" s="2404"/>
      <c r="F40" s="2405"/>
      <c r="H40" s="1501"/>
      <c r="I40" s="1501"/>
      <c r="J40" s="1501"/>
      <c r="K40" s="1501"/>
    </row>
    <row r="41" spans="1:15" s="1492" customFormat="1" ht="12" customHeight="1" x14ac:dyDescent="0.25">
      <c r="A41" s="2406"/>
      <c r="B41" s="2407"/>
      <c r="C41" s="2407"/>
      <c r="D41" s="2407"/>
      <c r="E41" s="2407"/>
      <c r="F41" s="2408"/>
      <c r="H41" s="1501"/>
      <c r="I41" s="1501"/>
      <c r="J41" s="1501"/>
      <c r="K41" s="1501"/>
    </row>
    <row r="42" spans="1:15" s="1492" customFormat="1" ht="12" customHeight="1" x14ac:dyDescent="0.25">
      <c r="A42" s="2406"/>
      <c r="B42" s="2407"/>
      <c r="C42" s="2407"/>
      <c r="D42" s="2407"/>
      <c r="E42" s="2407"/>
      <c r="F42" s="2408"/>
      <c r="H42" s="1501"/>
      <c r="I42" s="1501"/>
      <c r="J42" s="1501"/>
      <c r="K42" s="1501"/>
    </row>
    <row r="43" spans="1:15" s="1492" customFormat="1" ht="15" x14ac:dyDescent="0.25">
      <c r="A43" s="2398"/>
      <c r="B43" s="2399"/>
      <c r="C43" s="2399"/>
      <c r="D43" s="2399"/>
      <c r="E43" s="2399"/>
      <c r="F43" s="2400"/>
      <c r="H43" s="1501"/>
      <c r="I43" s="1501"/>
      <c r="J43" s="1501"/>
      <c r="K43" s="1501"/>
    </row>
    <row r="44" spans="1:15" s="1492" customFormat="1" ht="12" hidden="1" customHeight="1" x14ac:dyDescent="0.25">
      <c r="A44" s="2398"/>
      <c r="B44" s="2399"/>
      <c r="C44" s="2399"/>
      <c r="D44" s="2399"/>
      <c r="E44" s="2399"/>
      <c r="F44" s="2400"/>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F1F4-215A-40B7-8C52-021BC6F53F5B}">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15" customWidth="1"/>
    <col min="2" max="2" width="3" style="1915" customWidth="1"/>
    <col min="3" max="3" width="38" style="1915" customWidth="1"/>
    <col min="4" max="4" width="7.7109375" style="1915" customWidth="1"/>
    <col min="5" max="5" width="10.7109375" style="1915" customWidth="1"/>
    <col min="6" max="6" width="11" style="1915" customWidth="1"/>
    <col min="7" max="8" width="9.140625" style="1915"/>
    <col min="9" max="9" width="10.85546875" style="1915" customWidth="1"/>
    <col min="10" max="10" width="12.42578125" style="1915" customWidth="1"/>
    <col min="11" max="11" width="9.140625" style="1915"/>
    <col min="12" max="12" width="13.140625" style="1915" customWidth="1"/>
    <col min="13" max="13" width="9.140625" style="1915"/>
    <col min="14" max="14" width="17.85546875" style="1915" customWidth="1"/>
    <col min="15" max="16384" width="9.140625" style="1915"/>
  </cols>
  <sheetData>
    <row r="1" spans="1:14" x14ac:dyDescent="0.25">
      <c r="A1" s="2031"/>
      <c r="B1" s="2028"/>
      <c r="C1" s="2028"/>
      <c r="D1" s="2028"/>
      <c r="E1" s="2028"/>
      <c r="F1" s="2028"/>
      <c r="G1" s="2030" t="s">
        <v>402</v>
      </c>
      <c r="H1" s="2029"/>
      <c r="I1" s="2028"/>
      <c r="J1" s="2028"/>
      <c r="K1" s="2028"/>
      <c r="L1" s="2028"/>
      <c r="M1" s="2028"/>
      <c r="N1" s="2027"/>
    </row>
    <row r="2" spans="1:14" x14ac:dyDescent="0.25">
      <c r="A2" s="1960"/>
      <c r="B2" s="847"/>
      <c r="C2" s="847"/>
      <c r="D2" s="847"/>
      <c r="E2" s="847"/>
      <c r="F2" s="847"/>
      <c r="G2" s="1914" t="s">
        <v>2005</v>
      </c>
      <c r="H2" s="2026"/>
      <c r="I2" s="847"/>
      <c r="J2" s="847"/>
      <c r="K2" s="847"/>
      <c r="L2" s="847"/>
      <c r="M2" s="847"/>
      <c r="N2" s="1959"/>
    </row>
    <row r="3" spans="1:14" x14ac:dyDescent="0.25">
      <c r="A3" s="1960"/>
      <c r="B3" s="847"/>
      <c r="C3" s="847"/>
      <c r="D3" s="847"/>
      <c r="E3" s="847"/>
      <c r="F3" s="847"/>
      <c r="G3" s="1914" t="s">
        <v>403</v>
      </c>
      <c r="H3" s="847"/>
      <c r="I3" s="847"/>
      <c r="J3" s="847"/>
      <c r="K3" s="847"/>
      <c r="L3" s="847"/>
      <c r="M3" s="847"/>
      <c r="N3" s="1959"/>
    </row>
    <row r="4" spans="1:14" x14ac:dyDescent="0.25">
      <c r="A4" s="1960"/>
      <c r="B4" s="847"/>
      <c r="C4" s="847"/>
      <c r="D4" s="847"/>
      <c r="E4" s="847"/>
      <c r="F4" s="847"/>
      <c r="G4" s="1914" t="s">
        <v>863</v>
      </c>
      <c r="H4" s="847"/>
      <c r="I4" s="847"/>
      <c r="J4" s="847"/>
      <c r="K4" s="847"/>
      <c r="L4" s="847"/>
      <c r="M4" s="847"/>
      <c r="N4" s="1959"/>
    </row>
    <row r="5" spans="1:14" x14ac:dyDescent="0.25">
      <c r="A5" s="1960"/>
      <c r="B5" s="847"/>
      <c r="C5" s="847"/>
      <c r="D5" s="847"/>
      <c r="E5" s="847"/>
      <c r="F5" s="1914"/>
      <c r="G5" s="1914"/>
      <c r="H5" s="847"/>
      <c r="I5" s="847"/>
      <c r="J5" s="847"/>
      <c r="K5" s="847"/>
      <c r="L5" s="847"/>
      <c r="M5" s="847"/>
      <c r="N5" s="1959"/>
    </row>
    <row r="6" spans="1:14" x14ac:dyDescent="0.25">
      <c r="A6" s="2025" t="s">
        <v>667</v>
      </c>
      <c r="B6" s="1370"/>
      <c r="C6" s="1370"/>
      <c r="D6" s="1370"/>
      <c r="E6" s="1371"/>
      <c r="F6" s="2024"/>
      <c r="G6" s="1914"/>
      <c r="H6" s="847"/>
      <c r="I6" s="1948" t="s">
        <v>1021</v>
      </c>
      <c r="J6" s="2451" t="str">
        <f>COVER!A17</f>
        <v xml:space="preserve">   Northwestern CUSD 2</v>
      </c>
      <c r="K6" s="2451"/>
      <c r="L6" s="2452"/>
      <c r="M6" s="847"/>
      <c r="N6" s="1959"/>
    </row>
    <row r="7" spans="1:14" x14ac:dyDescent="0.25">
      <c r="A7" s="2453" t="s">
        <v>864</v>
      </c>
      <c r="B7" s="2454"/>
      <c r="C7" s="2454"/>
      <c r="D7" s="2454"/>
      <c r="E7" s="2455"/>
      <c r="F7" s="2023"/>
      <c r="G7" s="847"/>
      <c r="H7" s="847"/>
      <c r="I7" s="1948" t="s">
        <v>369</v>
      </c>
      <c r="J7" s="2456">
        <f>COVER!A13</f>
        <v>40056002026</v>
      </c>
      <c r="K7" s="2456"/>
      <c r="L7" s="2456"/>
      <c r="M7" s="847"/>
      <c r="N7" s="1959"/>
    </row>
    <row r="8" spans="1:14" x14ac:dyDescent="0.25">
      <c r="A8" s="2022"/>
      <c r="B8" s="2021"/>
      <c r="C8" s="2021"/>
      <c r="D8" s="2021"/>
      <c r="E8" s="2020"/>
      <c r="F8" s="2019"/>
      <c r="G8" s="2018"/>
      <c r="H8" s="2018"/>
      <c r="I8" s="2018"/>
      <c r="J8" s="2018"/>
      <c r="K8" s="2018"/>
      <c r="L8" s="2018"/>
      <c r="M8" s="847"/>
      <c r="N8" s="1959"/>
    </row>
    <row r="9" spans="1:14" x14ac:dyDescent="0.25">
      <c r="A9" s="2017"/>
      <c r="B9" s="2016"/>
      <c r="C9" s="2016"/>
      <c r="D9" s="2015"/>
      <c r="E9" s="2014" t="s">
        <v>2094</v>
      </c>
      <c r="F9" s="2012"/>
      <c r="G9" s="2012"/>
      <c r="H9" s="2012"/>
      <c r="I9" s="2013" t="s">
        <v>2093</v>
      </c>
      <c r="J9" s="2012"/>
      <c r="K9" s="2012"/>
      <c r="L9" s="2011"/>
      <c r="M9" s="847"/>
      <c r="N9" s="1959"/>
    </row>
    <row r="10" spans="1:14" x14ac:dyDescent="0.25">
      <c r="A10" s="1960"/>
      <c r="B10" s="847"/>
      <c r="C10" s="1914"/>
      <c r="D10" s="2010"/>
      <c r="E10" s="2009" t="s">
        <v>422</v>
      </c>
      <c r="F10" s="2006" t="s">
        <v>423</v>
      </c>
      <c r="G10" s="2007" t="s">
        <v>429</v>
      </c>
      <c r="H10" s="2008"/>
      <c r="I10" s="2006" t="s">
        <v>422</v>
      </c>
      <c r="J10" s="2006" t="s">
        <v>423</v>
      </c>
      <c r="K10" s="2007" t="s">
        <v>429</v>
      </c>
      <c r="L10" s="2006"/>
      <c r="M10" s="847"/>
      <c r="N10" s="1959"/>
    </row>
    <row r="11" spans="1:14" ht="51" x14ac:dyDescent="0.25">
      <c r="A11" s="2457" t="s">
        <v>478</v>
      </c>
      <c r="B11" s="2458"/>
      <c r="C11" s="2459"/>
      <c r="D11" s="2005" t="s">
        <v>866</v>
      </c>
      <c r="E11" s="2005" t="s">
        <v>64</v>
      </c>
      <c r="F11" s="2005" t="s">
        <v>6</v>
      </c>
      <c r="G11" s="2004" t="s">
        <v>2092</v>
      </c>
      <c r="H11" s="2003" t="s">
        <v>155</v>
      </c>
      <c r="I11" s="2005" t="s">
        <v>64</v>
      </c>
      <c r="J11" s="2005" t="s">
        <v>6</v>
      </c>
      <c r="K11" s="2004" t="s">
        <v>2004</v>
      </c>
      <c r="L11" s="2003" t="s">
        <v>155</v>
      </c>
      <c r="M11" s="847"/>
      <c r="N11" s="1959"/>
    </row>
    <row r="12" spans="1:14" x14ac:dyDescent="0.25">
      <c r="A12" s="1989">
        <v>1</v>
      </c>
      <c r="B12" s="2001" t="s">
        <v>813</v>
      </c>
      <c r="C12" s="2000"/>
      <c r="D12" s="1999">
        <v>2320</v>
      </c>
      <c r="E12" s="1998">
        <f>'Expenditures 15-22'!K50</f>
        <v>132437</v>
      </c>
      <c r="F12" s="1996"/>
      <c r="G12" s="1997">
        <f>G68</f>
        <v>0</v>
      </c>
      <c r="H12" s="1993">
        <f t="shared" ref="H12:H18" si="0">SUM(E12:G12)</f>
        <v>132437</v>
      </c>
      <c r="I12" s="1994">
        <v>139570</v>
      </c>
      <c r="J12" s="1996"/>
      <c r="K12" s="1994"/>
      <c r="L12" s="1993">
        <f t="shared" ref="L12:L18" si="1">SUM(I12:K12)</f>
        <v>139570</v>
      </c>
      <c r="M12" s="847"/>
      <c r="N12" s="1959"/>
    </row>
    <row r="13" spans="1:14" x14ac:dyDescent="0.25">
      <c r="A13" s="1989">
        <v>2</v>
      </c>
      <c r="B13" s="2001" t="s">
        <v>42</v>
      </c>
      <c r="C13" s="2000"/>
      <c r="D13" s="1999">
        <v>2330</v>
      </c>
      <c r="E13" s="1998">
        <f>'Expenditures 15-22'!K51</f>
        <v>6655</v>
      </c>
      <c r="F13" s="1996"/>
      <c r="G13" s="1997">
        <f>H68</f>
        <v>75320</v>
      </c>
      <c r="H13" s="1993">
        <f t="shared" si="0"/>
        <v>81975</v>
      </c>
      <c r="I13" s="1994">
        <v>4500</v>
      </c>
      <c r="J13" s="1996"/>
      <c r="K13" s="1994"/>
      <c r="L13" s="1993">
        <f t="shared" si="1"/>
        <v>4500</v>
      </c>
      <c r="M13" s="847"/>
      <c r="N13" s="1959"/>
    </row>
    <row r="14" spans="1:14" x14ac:dyDescent="0.25">
      <c r="A14" s="1989">
        <v>3</v>
      </c>
      <c r="B14" s="2001" t="s">
        <v>43</v>
      </c>
      <c r="C14" s="2000"/>
      <c r="D14" s="2002">
        <v>2490</v>
      </c>
      <c r="E14" s="1998">
        <f>'Expenditures 15-22'!K56</f>
        <v>0</v>
      </c>
      <c r="F14" s="1996"/>
      <c r="G14" s="1997">
        <f>I68</f>
        <v>0</v>
      </c>
      <c r="H14" s="1993">
        <f t="shared" si="0"/>
        <v>0</v>
      </c>
      <c r="I14" s="1994"/>
      <c r="J14" s="1996"/>
      <c r="K14" s="1994"/>
      <c r="L14" s="1993">
        <f t="shared" si="1"/>
        <v>0</v>
      </c>
      <c r="M14" s="847"/>
      <c r="N14" s="1959"/>
    </row>
    <row r="15" spans="1:14" x14ac:dyDescent="0.25">
      <c r="A15" s="1989">
        <v>4</v>
      </c>
      <c r="B15" s="2001" t="s">
        <v>1061</v>
      </c>
      <c r="C15" s="2000"/>
      <c r="D15" s="1999">
        <v>2510</v>
      </c>
      <c r="E15" s="1998">
        <f>'Expenditures 15-22'!K59</f>
        <v>0</v>
      </c>
      <c r="F15" s="1998">
        <f>'Expenditures 15-22'!K122</f>
        <v>0</v>
      </c>
      <c r="G15" s="1997">
        <f>J68</f>
        <v>0</v>
      </c>
      <c r="H15" s="1993">
        <f t="shared" si="0"/>
        <v>0</v>
      </c>
      <c r="I15" s="1994"/>
      <c r="J15" s="1994"/>
      <c r="K15" s="1994"/>
      <c r="L15" s="1993">
        <f t="shared" si="1"/>
        <v>0</v>
      </c>
      <c r="M15" s="847"/>
      <c r="N15" s="1959"/>
    </row>
    <row r="16" spans="1:14" x14ac:dyDescent="0.25">
      <c r="A16" s="1989">
        <v>5</v>
      </c>
      <c r="B16" s="2001" t="s">
        <v>101</v>
      </c>
      <c r="C16" s="2000"/>
      <c r="D16" s="1999">
        <v>2570</v>
      </c>
      <c r="E16" s="1998">
        <f>'Expenditures 15-22'!K64</f>
        <v>0</v>
      </c>
      <c r="F16" s="1996"/>
      <c r="G16" s="1997">
        <f>K68</f>
        <v>0</v>
      </c>
      <c r="H16" s="1993">
        <f t="shared" si="0"/>
        <v>0</v>
      </c>
      <c r="I16" s="1994"/>
      <c r="J16" s="1996"/>
      <c r="K16" s="1994"/>
      <c r="L16" s="1993">
        <f t="shared" si="1"/>
        <v>0</v>
      </c>
      <c r="M16" s="847"/>
      <c r="N16" s="1959"/>
    </row>
    <row r="17" spans="1:14" x14ac:dyDescent="0.25">
      <c r="A17" s="1989">
        <v>6</v>
      </c>
      <c r="B17" s="2001" t="s">
        <v>1053</v>
      </c>
      <c r="C17" s="2000"/>
      <c r="D17" s="1999">
        <v>2610</v>
      </c>
      <c r="E17" s="1998">
        <f>'Expenditures 15-22'!K67</f>
        <v>0</v>
      </c>
      <c r="F17" s="1996"/>
      <c r="G17" s="1997">
        <f>L68</f>
        <v>0</v>
      </c>
      <c r="H17" s="1993">
        <f t="shared" si="0"/>
        <v>0</v>
      </c>
      <c r="I17" s="1994"/>
      <c r="J17" s="1996"/>
      <c r="K17" s="1994"/>
      <c r="L17" s="1993">
        <f t="shared" si="1"/>
        <v>0</v>
      </c>
      <c r="M17" s="847"/>
      <c r="N17" s="1959"/>
    </row>
    <row r="18" spans="1:14" ht="28.5" customHeight="1" x14ac:dyDescent="0.25">
      <c r="A18" s="1995">
        <v>7</v>
      </c>
      <c r="B18" s="2460" t="s">
        <v>7</v>
      </c>
      <c r="C18" s="2460"/>
      <c r="D18" s="2461"/>
      <c r="E18" s="1994"/>
      <c r="F18" s="1994"/>
      <c r="G18" s="1994"/>
      <c r="H18" s="1993">
        <f t="shared" si="0"/>
        <v>0</v>
      </c>
      <c r="I18" s="1994"/>
      <c r="J18" s="1994"/>
      <c r="K18" s="1994"/>
      <c r="L18" s="1993">
        <f t="shared" si="1"/>
        <v>0</v>
      </c>
      <c r="M18" s="847"/>
      <c r="N18" s="1959"/>
    </row>
    <row r="19" spans="1:14" ht="15.75" thickBot="1" x14ac:dyDescent="0.3">
      <c r="A19" s="1989">
        <v>8</v>
      </c>
      <c r="B19" s="1992" t="s">
        <v>1153</v>
      </c>
      <c r="C19" s="847"/>
      <c r="D19" s="1991"/>
      <c r="E19" s="1990">
        <f t="shared" ref="E19:L19" si="2">SUM(E12:E17)-E18</f>
        <v>139092</v>
      </c>
      <c r="F19" s="1990">
        <f t="shared" si="2"/>
        <v>0</v>
      </c>
      <c r="G19" s="1990">
        <f t="shared" si="2"/>
        <v>75320</v>
      </c>
      <c r="H19" s="1990">
        <f t="shared" si="2"/>
        <v>214412</v>
      </c>
      <c r="I19" s="1990">
        <f t="shared" si="2"/>
        <v>144070</v>
      </c>
      <c r="J19" s="1990">
        <f t="shared" si="2"/>
        <v>0</v>
      </c>
      <c r="K19" s="1990">
        <f t="shared" si="2"/>
        <v>0</v>
      </c>
      <c r="L19" s="1990">
        <f t="shared" si="2"/>
        <v>144070</v>
      </c>
      <c r="M19" s="847"/>
      <c r="N19" s="1959"/>
    </row>
    <row r="20" spans="1:14" ht="15.75" thickTop="1" x14ac:dyDescent="0.25">
      <c r="A20" s="1989">
        <v>9</v>
      </c>
      <c r="B20" s="2445" t="s">
        <v>2091</v>
      </c>
      <c r="C20" s="2445"/>
      <c r="D20" s="2446"/>
      <c r="E20" s="1988"/>
      <c r="F20" s="1988"/>
      <c r="G20" s="1988"/>
      <c r="H20" s="1988"/>
      <c r="I20" s="1988"/>
      <c r="J20" s="1988"/>
      <c r="K20" s="1988"/>
      <c r="L20" s="1987">
        <f>IF(AND(H19&gt;0,L19&gt;0),(((L19-H19)/H19)),"Enter Budget Data")</f>
        <v>-0.32806932447810755</v>
      </c>
      <c r="M20" s="847"/>
      <c r="N20" s="1959"/>
    </row>
    <row r="21" spans="1:14" x14ac:dyDescent="0.25">
      <c r="A21" s="1986" t="s">
        <v>194</v>
      </c>
      <c r="B21" s="294" t="s">
        <v>2090</v>
      </c>
      <c r="C21" s="847"/>
      <c r="D21" s="1970"/>
      <c r="E21" s="1969"/>
      <c r="F21" s="1985"/>
      <c r="G21" s="1985"/>
      <c r="H21" s="1985"/>
      <c r="I21" s="1985"/>
      <c r="J21" s="1985"/>
      <c r="K21" s="1985"/>
      <c r="L21" s="1984"/>
      <c r="M21" s="847"/>
      <c r="N21" s="1959"/>
    </row>
    <row r="22" spans="1:14" x14ac:dyDescent="0.25">
      <c r="A22" s="1960"/>
      <c r="B22" s="1972"/>
      <c r="C22" s="847"/>
      <c r="D22" s="847"/>
      <c r="E22" s="847"/>
      <c r="F22" s="847"/>
      <c r="G22" s="847"/>
      <c r="H22" s="847"/>
      <c r="I22" s="847"/>
      <c r="J22" s="847"/>
      <c r="K22" s="847"/>
      <c r="L22" s="847"/>
      <c r="M22" s="847"/>
      <c r="N22" s="1959"/>
    </row>
    <row r="23" spans="1:14" x14ac:dyDescent="0.25">
      <c r="A23" s="1983" t="s">
        <v>132</v>
      </c>
      <c r="B23" s="1972"/>
      <c r="C23" s="847"/>
      <c r="D23" s="847"/>
      <c r="E23" s="847"/>
      <c r="F23" s="847"/>
      <c r="G23" s="847"/>
      <c r="H23" s="847"/>
      <c r="I23" s="847"/>
      <c r="J23" s="847"/>
      <c r="K23" s="847"/>
      <c r="L23" s="847"/>
      <c r="M23" s="847"/>
      <c r="N23" s="1959"/>
    </row>
    <row r="24" spans="1:14" x14ac:dyDescent="0.25">
      <c r="A24" s="1982" t="s">
        <v>2089</v>
      </c>
      <c r="B24" s="1981"/>
      <c r="C24" s="1980"/>
      <c r="D24" s="1980"/>
      <c r="E24" s="1980"/>
      <c r="F24" s="1980"/>
      <c r="G24" s="1980"/>
      <c r="H24" s="1980"/>
      <c r="I24" s="1980"/>
      <c r="J24" s="1980"/>
      <c r="K24" s="1980"/>
      <c r="L24" s="847"/>
      <c r="M24" s="847"/>
      <c r="N24" s="1959"/>
    </row>
    <row r="25" spans="1:14" x14ac:dyDescent="0.25">
      <c r="A25" s="1982" t="s">
        <v>2088</v>
      </c>
      <c r="B25" s="1981"/>
      <c r="C25" s="1980"/>
      <c r="D25" s="1980"/>
      <c r="E25" s="1980"/>
      <c r="F25" s="1980"/>
      <c r="G25" s="1980"/>
      <c r="H25" s="1980"/>
      <c r="I25" s="1980"/>
      <c r="J25" s="1980"/>
      <c r="K25" s="1980"/>
      <c r="L25" s="847"/>
      <c r="M25" s="847"/>
      <c r="N25" s="1959"/>
    </row>
    <row r="26" spans="1:14" x14ac:dyDescent="0.25">
      <c r="A26" s="1979"/>
      <c r="B26" s="1972"/>
      <c r="C26" s="847"/>
      <c r="D26" s="847"/>
      <c r="E26" s="847"/>
      <c r="F26" s="847"/>
      <c r="G26" s="847"/>
      <c r="H26" s="847"/>
      <c r="I26" s="847"/>
      <c r="J26" s="847"/>
      <c r="K26" s="847"/>
      <c r="L26" s="847"/>
      <c r="M26" s="847"/>
      <c r="N26" s="1959"/>
    </row>
    <row r="27" spans="1:14" x14ac:dyDescent="0.25">
      <c r="A27" s="1960"/>
      <c r="B27" s="1972"/>
      <c r="C27" s="2447"/>
      <c r="D27" s="2447"/>
      <c r="E27" s="1978"/>
      <c r="F27" s="2448"/>
      <c r="G27" s="2448"/>
      <c r="H27" s="2448"/>
      <c r="I27" s="847"/>
      <c r="J27" s="847"/>
      <c r="K27" s="847"/>
      <c r="L27" s="847"/>
      <c r="M27" s="847"/>
      <c r="N27" s="1959"/>
    </row>
    <row r="28" spans="1:14" x14ac:dyDescent="0.25">
      <c r="A28" s="1960"/>
      <c r="B28" s="1972"/>
      <c r="C28" s="1977" t="s">
        <v>1026</v>
      </c>
      <c r="D28" s="1976"/>
      <c r="E28" s="1975"/>
      <c r="F28" s="2449" t="s">
        <v>1495</v>
      </c>
      <c r="G28" s="2449"/>
      <c r="H28" s="2449"/>
      <c r="I28" s="847"/>
      <c r="J28" s="847"/>
      <c r="K28" s="847"/>
      <c r="L28" s="847"/>
      <c r="M28" s="847"/>
      <c r="N28" s="1959"/>
    </row>
    <row r="29" spans="1:14" x14ac:dyDescent="0.25">
      <c r="A29" s="1960"/>
      <c r="B29" s="1972"/>
      <c r="C29" s="2450"/>
      <c r="D29" s="2450"/>
      <c r="E29" s="846"/>
      <c r="F29" s="2450"/>
      <c r="G29" s="2450"/>
      <c r="H29" s="2450"/>
      <c r="I29" s="847"/>
      <c r="J29" s="847"/>
      <c r="K29" s="847"/>
      <c r="L29" s="847"/>
      <c r="M29" s="847"/>
      <c r="N29" s="1959"/>
    </row>
    <row r="30" spans="1:14" x14ac:dyDescent="0.25">
      <c r="A30" s="1960"/>
      <c r="B30" s="1972"/>
      <c r="C30" s="1974" t="s">
        <v>1547</v>
      </c>
      <c r="D30" s="847"/>
      <c r="E30" s="1973"/>
      <c r="F30" s="2438" t="s">
        <v>1496</v>
      </c>
      <c r="G30" s="2438"/>
      <c r="H30" s="2438"/>
      <c r="I30" s="847"/>
      <c r="J30" s="847"/>
      <c r="K30" s="847"/>
      <c r="L30" s="847"/>
      <c r="M30" s="847"/>
      <c r="N30" s="1959"/>
    </row>
    <row r="31" spans="1:14" x14ac:dyDescent="0.25">
      <c r="A31" s="1960"/>
      <c r="B31" s="1972"/>
      <c r="C31" s="1971"/>
      <c r="D31" s="847"/>
      <c r="E31" s="1970"/>
      <c r="F31" s="1969"/>
      <c r="G31" s="1969"/>
      <c r="H31" s="1969"/>
      <c r="I31" s="847"/>
      <c r="J31" s="847"/>
      <c r="K31" s="847"/>
      <c r="L31" s="847"/>
      <c r="M31" s="847"/>
      <c r="N31" s="1959"/>
    </row>
    <row r="32" spans="1:14" x14ac:dyDescent="0.25">
      <c r="A32" s="1960"/>
      <c r="B32" s="1968" t="s">
        <v>1027</v>
      </c>
      <c r="C32" s="847"/>
      <c r="D32" s="847"/>
      <c r="E32" s="847"/>
      <c r="F32" s="847"/>
      <c r="G32" s="847"/>
      <c r="H32" s="847"/>
      <c r="I32" s="847"/>
      <c r="J32" s="847"/>
      <c r="K32" s="847"/>
      <c r="L32" s="847"/>
      <c r="M32" s="847"/>
      <c r="N32" s="1959"/>
    </row>
    <row r="33" spans="1:14" x14ac:dyDescent="0.25">
      <c r="A33" s="1960"/>
      <c r="B33" s="1967"/>
      <c r="C33" s="847"/>
      <c r="D33" s="847"/>
      <c r="E33" s="847"/>
      <c r="F33" s="847"/>
      <c r="G33" s="847"/>
      <c r="H33" s="847"/>
      <c r="I33" s="847"/>
      <c r="J33" s="847"/>
      <c r="K33" s="847"/>
      <c r="L33" s="847"/>
      <c r="M33" s="847"/>
      <c r="N33" s="1959"/>
    </row>
    <row r="34" spans="1:14" x14ac:dyDescent="0.25">
      <c r="A34" s="1960"/>
      <c r="B34" s="1962"/>
      <c r="C34" s="2439" t="s">
        <v>2087</v>
      </c>
      <c r="D34" s="2439"/>
      <c r="E34" s="2439"/>
      <c r="F34" s="2439"/>
      <c r="G34" s="2439"/>
      <c r="H34" s="2439"/>
      <c r="I34" s="2439"/>
      <c r="J34" s="2439"/>
      <c r="K34" s="1966"/>
      <c r="L34" s="847"/>
      <c r="M34" s="847"/>
      <c r="N34" s="1959"/>
    </row>
    <row r="35" spans="1:14" x14ac:dyDescent="0.25">
      <c r="A35" s="1960"/>
      <c r="B35" s="847"/>
      <c r="C35" s="2439"/>
      <c r="D35" s="2439"/>
      <c r="E35" s="2439"/>
      <c r="F35" s="2439"/>
      <c r="G35" s="2439"/>
      <c r="H35" s="2439"/>
      <c r="I35" s="2439"/>
      <c r="J35" s="2439"/>
      <c r="K35" s="1966"/>
      <c r="L35" s="847"/>
      <c r="M35" s="847"/>
      <c r="N35" s="1959"/>
    </row>
    <row r="36" spans="1:14" x14ac:dyDescent="0.25">
      <c r="A36" s="1960"/>
      <c r="B36" s="847"/>
      <c r="C36" s="1965"/>
      <c r="D36" s="847"/>
      <c r="E36" s="847"/>
      <c r="F36" s="847"/>
      <c r="G36" s="847"/>
      <c r="H36" s="847"/>
      <c r="I36" s="847"/>
      <c r="J36" s="847"/>
      <c r="K36" s="847"/>
      <c r="L36" s="847"/>
      <c r="M36" s="847"/>
      <c r="N36" s="1959"/>
    </row>
    <row r="37" spans="1:14" x14ac:dyDescent="0.25">
      <c r="A37" s="1960"/>
      <c r="B37" s="1962"/>
      <c r="C37" s="2439" t="s">
        <v>2086</v>
      </c>
      <c r="D37" s="2439"/>
      <c r="E37" s="2439"/>
      <c r="F37" s="2439"/>
      <c r="G37" s="2439"/>
      <c r="H37" s="2439"/>
      <c r="I37" s="2439"/>
      <c r="J37" s="2439"/>
      <c r="K37" s="1966"/>
      <c r="L37" s="838"/>
      <c r="M37" s="847"/>
      <c r="N37" s="1959"/>
    </row>
    <row r="38" spans="1:14" x14ac:dyDescent="0.25">
      <c r="A38" s="1960"/>
      <c r="B38" s="847"/>
      <c r="C38" s="2439"/>
      <c r="D38" s="2439"/>
      <c r="E38" s="2439"/>
      <c r="F38" s="2439"/>
      <c r="G38" s="2439"/>
      <c r="H38" s="2439"/>
      <c r="I38" s="2439"/>
      <c r="J38" s="2439"/>
      <c r="K38" s="1966"/>
      <c r="L38" s="838"/>
      <c r="M38" s="847"/>
      <c r="N38" s="1959"/>
    </row>
    <row r="39" spans="1:14" x14ac:dyDescent="0.25">
      <c r="A39" s="1960"/>
      <c r="B39" s="847"/>
      <c r="C39" s="1965"/>
      <c r="D39" s="847"/>
      <c r="E39" s="1963"/>
      <c r="F39" s="1964"/>
      <c r="G39" s="1964"/>
      <c r="H39" s="1963"/>
      <c r="I39" s="847"/>
      <c r="J39" s="847"/>
      <c r="K39" s="847"/>
      <c r="L39" s="847"/>
      <c r="M39" s="847"/>
      <c r="N39" s="1959"/>
    </row>
    <row r="40" spans="1:14" x14ac:dyDescent="0.25">
      <c r="A40" s="1960"/>
      <c r="B40" s="1962"/>
      <c r="C40" s="2440" t="s">
        <v>2085</v>
      </c>
      <c r="D40" s="2441"/>
      <c r="E40" s="2441"/>
      <c r="F40" s="2441"/>
      <c r="G40" s="2441"/>
      <c r="H40" s="2441"/>
      <c r="I40" s="2441"/>
      <c r="J40" s="2441"/>
      <c r="K40" s="1961"/>
      <c r="L40" s="847"/>
      <c r="M40" s="847"/>
      <c r="N40" s="1959"/>
    </row>
    <row r="41" spans="1:14" x14ac:dyDescent="0.25">
      <c r="A41" s="1960"/>
      <c r="B41" s="847"/>
      <c r="C41" s="839"/>
      <c r="D41" s="839"/>
      <c r="E41" s="839"/>
      <c r="F41" s="839"/>
      <c r="G41" s="839"/>
      <c r="H41" s="839"/>
      <c r="I41" s="839"/>
      <c r="J41" s="839"/>
      <c r="K41" s="839"/>
      <c r="L41" s="847"/>
      <c r="M41" s="847"/>
      <c r="N41" s="1959"/>
    </row>
    <row r="42" spans="1:14" ht="15.75" thickBot="1" x14ac:dyDescent="0.3">
      <c r="A42" s="1958"/>
      <c r="B42" s="1957"/>
      <c r="C42" s="1957"/>
      <c r="D42" s="1957"/>
      <c r="E42" s="1957"/>
      <c r="F42" s="1957"/>
      <c r="G42" s="1957"/>
      <c r="H42" s="1957"/>
      <c r="I42" s="1957"/>
      <c r="J42" s="1957"/>
      <c r="K42" s="1957"/>
      <c r="L42" s="1957"/>
      <c r="M42" s="1957"/>
      <c r="N42" s="1956"/>
    </row>
    <row r="43" spans="1:14" ht="27" thickBot="1" x14ac:dyDescent="0.45">
      <c r="A43" s="2442" t="s">
        <v>2084</v>
      </c>
      <c r="B43" s="2443"/>
      <c r="C43" s="2443"/>
      <c r="D43" s="2443"/>
      <c r="E43" s="2443"/>
      <c r="F43" s="2443"/>
      <c r="G43" s="2443"/>
      <c r="H43" s="2443"/>
      <c r="I43" s="2443"/>
      <c r="J43" s="2443"/>
      <c r="K43" s="2443"/>
      <c r="L43" s="2443"/>
      <c r="M43" s="2443"/>
      <c r="N43" s="2444"/>
    </row>
    <row r="44" spans="1:14" x14ac:dyDescent="0.25">
      <c r="A44" s="1947"/>
      <c r="B44" s="1946"/>
      <c r="C44" s="1946"/>
      <c r="D44" s="1946"/>
      <c r="E44" s="1946"/>
      <c r="F44" s="1946"/>
      <c r="G44" s="1946"/>
      <c r="H44" s="1946"/>
      <c r="I44" s="1946"/>
      <c r="J44" s="1946"/>
      <c r="K44" s="1946"/>
      <c r="L44" s="1946"/>
      <c r="M44" s="1946"/>
      <c r="N44" s="1945"/>
    </row>
    <row r="45" spans="1:14" x14ac:dyDescent="0.25">
      <c r="A45" s="1947" t="s">
        <v>2083</v>
      </c>
      <c r="B45" s="1946"/>
      <c r="C45" s="1946"/>
      <c r="D45" s="1946"/>
      <c r="E45" s="1946"/>
      <c r="F45" s="1946"/>
      <c r="G45" s="1946"/>
      <c r="H45" s="1946"/>
      <c r="I45" s="1946"/>
      <c r="J45" s="1946"/>
      <c r="K45" s="1946"/>
      <c r="L45" s="1946"/>
      <c r="M45" s="1946"/>
      <c r="N45" s="1945"/>
    </row>
    <row r="46" spans="1:14" x14ac:dyDescent="0.25">
      <c r="A46" s="2427" t="s">
        <v>2082</v>
      </c>
      <c r="B46" s="2428"/>
      <c r="C46" s="2428"/>
      <c r="D46" s="2428"/>
      <c r="E46" s="2428"/>
      <c r="F46" s="2428"/>
      <c r="G46" s="2428"/>
      <c r="H46" s="2428"/>
      <c r="I46" s="2428"/>
      <c r="J46" s="2428"/>
      <c r="K46" s="2428"/>
      <c r="L46" s="2428"/>
      <c r="M46" s="2428"/>
      <c r="N46" s="2429"/>
    </row>
    <row r="47" spans="1:14" x14ac:dyDescent="0.25">
      <c r="A47" s="2427"/>
      <c r="B47" s="2428"/>
      <c r="C47" s="2428"/>
      <c r="D47" s="2428"/>
      <c r="E47" s="2428"/>
      <c r="F47" s="2428"/>
      <c r="G47" s="2428"/>
      <c r="H47" s="2428"/>
      <c r="I47" s="2428"/>
      <c r="J47" s="2428"/>
      <c r="K47" s="2428"/>
      <c r="L47" s="2428"/>
      <c r="M47" s="2428"/>
      <c r="N47" s="2429"/>
    </row>
    <row r="48" spans="1:14" x14ac:dyDescent="0.25">
      <c r="A48" s="1955"/>
      <c r="B48" s="1946"/>
      <c r="C48" s="1946"/>
      <c r="D48" s="1954"/>
      <c r="E48" s="1954"/>
      <c r="F48" s="1954"/>
      <c r="G48" s="1954"/>
      <c r="H48" s="1954"/>
      <c r="I48" s="1954"/>
      <c r="J48" s="1954"/>
      <c r="K48" s="1954"/>
      <c r="L48" s="1954"/>
      <c r="M48" s="1954"/>
      <c r="N48" s="1953"/>
    </row>
    <row r="49" spans="1:14" ht="15.75" x14ac:dyDescent="0.25">
      <c r="A49" s="1949" t="s">
        <v>2081</v>
      </c>
      <c r="B49" s="1952"/>
      <c r="C49" s="1952"/>
      <c r="D49" s="1951"/>
      <c r="E49" s="1951"/>
      <c r="F49" s="1951"/>
      <c r="G49" s="1951"/>
      <c r="H49" s="1951"/>
      <c r="I49" s="1951"/>
      <c r="J49" s="1951"/>
      <c r="K49" s="1951"/>
      <c r="L49" s="1951"/>
      <c r="M49" s="1951"/>
      <c r="N49" s="1950"/>
    </row>
    <row r="50" spans="1:14" x14ac:dyDescent="0.25">
      <c r="A50" s="1949" t="s">
        <v>2080</v>
      </c>
      <c r="B50" s="1946"/>
      <c r="C50" s="1946"/>
      <c r="D50" s="1946"/>
      <c r="E50" s="1946"/>
      <c r="F50" s="1946"/>
      <c r="G50" s="1946"/>
      <c r="H50" s="1946"/>
      <c r="I50" s="1946"/>
      <c r="J50" s="1946"/>
      <c r="K50" s="1946"/>
      <c r="L50" s="1946"/>
      <c r="M50" s="1946"/>
      <c r="N50" s="1945"/>
    </row>
    <row r="51" spans="1:14" x14ac:dyDescent="0.25">
      <c r="A51" s="1947"/>
      <c r="B51" s="1946"/>
      <c r="C51" s="1946"/>
      <c r="D51" s="1946"/>
      <c r="E51" s="1946"/>
      <c r="F51" s="1946"/>
      <c r="G51" s="1946"/>
      <c r="H51" s="1946"/>
      <c r="I51" s="1946"/>
      <c r="J51" s="1946"/>
      <c r="K51" s="1946"/>
      <c r="L51" s="1946"/>
      <c r="M51" s="1946"/>
      <c r="N51" s="1945"/>
    </row>
    <row r="52" spans="1:14" x14ac:dyDescent="0.25">
      <c r="A52" s="1947"/>
      <c r="B52" s="1946"/>
      <c r="C52" s="1946"/>
      <c r="D52" s="1946"/>
      <c r="E52" s="1946"/>
      <c r="F52" s="1946"/>
      <c r="G52" s="1946"/>
      <c r="H52" s="1946"/>
      <c r="I52" s="1946"/>
      <c r="J52" s="1946"/>
      <c r="K52" s="1948" t="s">
        <v>1021</v>
      </c>
      <c r="L52" s="2430" t="str">
        <f>J6</f>
        <v xml:space="preserve">   Northwestern CUSD 2</v>
      </c>
      <c r="M52" s="2430"/>
      <c r="N52" s="2431"/>
    </row>
    <row r="53" spans="1:14" x14ac:dyDescent="0.25">
      <c r="A53" s="1947"/>
      <c r="B53" s="1946"/>
      <c r="C53" s="1946"/>
      <c r="D53" s="1946"/>
      <c r="E53" s="1946"/>
      <c r="F53" s="1946"/>
      <c r="G53" s="1946"/>
      <c r="H53" s="1946"/>
      <c r="I53" s="1946"/>
      <c r="J53" s="1946"/>
      <c r="K53" s="1948" t="s">
        <v>369</v>
      </c>
      <c r="L53" s="2432">
        <f>J7</f>
        <v>40056002026</v>
      </c>
      <c r="M53" s="2432"/>
      <c r="N53" s="2433"/>
    </row>
    <row r="54" spans="1:14" ht="15.75" thickBot="1" x14ac:dyDescent="0.3">
      <c r="A54" s="1947"/>
      <c r="B54" s="1946"/>
      <c r="C54" s="1946"/>
      <c r="D54" s="1946"/>
      <c r="E54" s="1946"/>
      <c r="F54" s="1946"/>
      <c r="G54" s="1946"/>
      <c r="H54" s="1946"/>
      <c r="I54" s="1946"/>
      <c r="J54" s="1946"/>
      <c r="K54" s="1946"/>
      <c r="L54" s="1946"/>
      <c r="M54" s="1946"/>
      <c r="N54" s="1945"/>
    </row>
    <row r="55" spans="1:14" x14ac:dyDescent="0.25">
      <c r="A55" s="2434"/>
      <c r="B55" s="2435"/>
      <c r="C55" s="2435"/>
      <c r="D55" s="1927"/>
      <c r="E55" s="1927"/>
      <c r="F55" s="1927"/>
      <c r="G55" s="2436" t="s">
        <v>2079</v>
      </c>
      <c r="H55" s="2436"/>
      <c r="I55" s="2436"/>
      <c r="J55" s="2436"/>
      <c r="K55" s="2436"/>
      <c r="L55" s="2436"/>
      <c r="M55" s="2436"/>
      <c r="N55" s="2437"/>
    </row>
    <row r="56" spans="1:14" ht="64.5" x14ac:dyDescent="0.25">
      <c r="A56" s="2422" t="s">
        <v>2078</v>
      </c>
      <c r="B56" s="2423"/>
      <c r="C56" s="2424"/>
      <c r="D56" s="1943" t="s">
        <v>2077</v>
      </c>
      <c r="E56" s="1943" t="s">
        <v>2076</v>
      </c>
      <c r="F56" s="1944"/>
      <c r="G56" s="1943" t="s">
        <v>2075</v>
      </c>
      <c r="H56" s="1943" t="s">
        <v>2074</v>
      </c>
      <c r="I56" s="1943" t="s">
        <v>2073</v>
      </c>
      <c r="J56" s="1943" t="s">
        <v>2072</v>
      </c>
      <c r="K56" s="1943" t="s">
        <v>2071</v>
      </c>
      <c r="L56" s="1943" t="s">
        <v>2070</v>
      </c>
      <c r="M56" s="1943" t="s">
        <v>2069</v>
      </c>
      <c r="N56" s="1942" t="s">
        <v>2068</v>
      </c>
    </row>
    <row r="57" spans="1:14" ht="24" customHeight="1" x14ac:dyDescent="0.25">
      <c r="A57" s="2425" t="s">
        <v>296</v>
      </c>
      <c r="B57" s="2426"/>
      <c r="C57" s="2426"/>
      <c r="D57" s="1941">
        <v>2361</v>
      </c>
      <c r="E57" s="1940">
        <f>'Expenditures 15-22'!K319</f>
        <v>0</v>
      </c>
      <c r="F57" s="1931"/>
      <c r="G57" s="1939"/>
      <c r="H57" s="1938"/>
      <c r="I57" s="1938"/>
      <c r="J57" s="1938"/>
      <c r="K57" s="1938"/>
      <c r="L57" s="1938"/>
      <c r="M57" s="1938"/>
      <c r="N57" s="1928">
        <f t="shared" ref="N57:N67" si="3">IF((SUM(G57:M57))=E57,SUM(G57:M57),"Column N does not agree with Column E")</f>
        <v>0</v>
      </c>
    </row>
    <row r="58" spans="1:14" ht="24.75" customHeight="1" x14ac:dyDescent="0.25">
      <c r="A58" s="2420" t="s">
        <v>2067</v>
      </c>
      <c r="B58" s="2421"/>
      <c r="C58" s="2421"/>
      <c r="D58" s="1937">
        <v>2362</v>
      </c>
      <c r="E58" s="1940">
        <f>'Expenditures 15-22'!K320</f>
        <v>13989</v>
      </c>
      <c r="F58" s="1931"/>
      <c r="G58" s="1935"/>
      <c r="H58" s="1934">
        <v>13989</v>
      </c>
      <c r="I58" s="1934"/>
      <c r="J58" s="1934"/>
      <c r="K58" s="1934"/>
      <c r="L58" s="1934"/>
      <c r="M58" s="1934"/>
      <c r="N58" s="1928">
        <f t="shared" si="3"/>
        <v>13989</v>
      </c>
    </row>
    <row r="59" spans="1:14" ht="24.75" customHeight="1" x14ac:dyDescent="0.25">
      <c r="A59" s="2412" t="s">
        <v>297</v>
      </c>
      <c r="B59" s="2413"/>
      <c r="C59" s="2413"/>
      <c r="D59" s="1937">
        <v>2363</v>
      </c>
      <c r="E59" s="1936">
        <f>'Expenditures 15-22'!K321</f>
        <v>0</v>
      </c>
      <c r="F59" s="1931"/>
      <c r="G59" s="1935"/>
      <c r="H59" s="1934"/>
      <c r="I59" s="1934"/>
      <c r="J59" s="1934"/>
      <c r="K59" s="1934"/>
      <c r="L59" s="1934"/>
      <c r="M59" s="1934"/>
      <c r="N59" s="1928">
        <f t="shared" si="3"/>
        <v>0</v>
      </c>
    </row>
    <row r="60" spans="1:14" ht="24.75" customHeight="1" x14ac:dyDescent="0.25">
      <c r="A60" s="2412" t="s">
        <v>236</v>
      </c>
      <c r="B60" s="2413"/>
      <c r="C60" s="2413"/>
      <c r="D60" s="1937">
        <v>2364</v>
      </c>
      <c r="E60" s="1936">
        <f>'Expenditures 15-22'!K322</f>
        <v>39197</v>
      </c>
      <c r="F60" s="1931"/>
      <c r="G60" s="1935"/>
      <c r="H60" s="1934">
        <v>39197</v>
      </c>
      <c r="I60" s="1934"/>
      <c r="J60" s="1934"/>
      <c r="K60" s="1934"/>
      <c r="L60" s="1934"/>
      <c r="M60" s="1934"/>
      <c r="N60" s="1928">
        <f t="shared" si="3"/>
        <v>39197</v>
      </c>
    </row>
    <row r="61" spans="1:14" ht="24.75" customHeight="1" x14ac:dyDescent="0.25">
      <c r="A61" s="2412" t="s">
        <v>697</v>
      </c>
      <c r="B61" s="2413"/>
      <c r="C61" s="2413"/>
      <c r="D61" s="1937">
        <v>2365</v>
      </c>
      <c r="E61" s="1936">
        <f>'Expenditures 15-22'!K323</f>
        <v>20502</v>
      </c>
      <c r="F61" s="1931"/>
      <c r="G61" s="1935"/>
      <c r="H61" s="1934">
        <v>20502</v>
      </c>
      <c r="I61" s="1934"/>
      <c r="J61" s="1934"/>
      <c r="K61" s="1934"/>
      <c r="L61" s="1934"/>
      <c r="M61" s="1934"/>
      <c r="N61" s="1928">
        <f t="shared" si="3"/>
        <v>20502</v>
      </c>
    </row>
    <row r="62" spans="1:14" ht="24.75" customHeight="1" x14ac:dyDescent="0.25">
      <c r="A62" s="2412" t="s">
        <v>237</v>
      </c>
      <c r="B62" s="2413"/>
      <c r="C62" s="2413"/>
      <c r="D62" s="1937">
        <v>2366</v>
      </c>
      <c r="E62" s="1936">
        <f>'Expenditures 15-22'!K324</f>
        <v>0</v>
      </c>
      <c r="F62" s="1931"/>
      <c r="G62" s="1935"/>
      <c r="H62" s="1934"/>
      <c r="I62" s="1934"/>
      <c r="J62" s="1934"/>
      <c r="K62" s="1934"/>
      <c r="L62" s="1934"/>
      <c r="M62" s="1934"/>
      <c r="N62" s="1928">
        <f t="shared" si="3"/>
        <v>0</v>
      </c>
    </row>
    <row r="63" spans="1:14" ht="24.75" customHeight="1" x14ac:dyDescent="0.25">
      <c r="A63" s="2420" t="s">
        <v>1022</v>
      </c>
      <c r="B63" s="2421"/>
      <c r="C63" s="2421"/>
      <c r="D63" s="1937">
        <v>2367</v>
      </c>
      <c r="E63" s="1936">
        <f>'Expenditures 15-22'!K325</f>
        <v>0</v>
      </c>
      <c r="F63" s="1931"/>
      <c r="G63" s="1935"/>
      <c r="H63" s="1934"/>
      <c r="I63" s="1934"/>
      <c r="J63" s="1934"/>
      <c r="K63" s="1934"/>
      <c r="L63" s="1934"/>
      <c r="M63" s="1934"/>
      <c r="N63" s="1928">
        <f t="shared" si="3"/>
        <v>0</v>
      </c>
    </row>
    <row r="64" spans="1:14" ht="24.75" customHeight="1" x14ac:dyDescent="0.25">
      <c r="A64" s="2412" t="s">
        <v>1023</v>
      </c>
      <c r="B64" s="2413"/>
      <c r="C64" s="2413"/>
      <c r="D64" s="1937">
        <v>2368</v>
      </c>
      <c r="E64" s="1936">
        <f>'Expenditures 15-22'!K326</f>
        <v>0</v>
      </c>
      <c r="F64" s="1931"/>
      <c r="G64" s="1935"/>
      <c r="H64" s="1934"/>
      <c r="I64" s="1934"/>
      <c r="J64" s="1934"/>
      <c r="K64" s="1934"/>
      <c r="L64" s="1934"/>
      <c r="M64" s="1934"/>
      <c r="N64" s="1928">
        <f t="shared" si="3"/>
        <v>0</v>
      </c>
    </row>
    <row r="65" spans="1:14" ht="24" customHeight="1" x14ac:dyDescent="0.25">
      <c r="A65" s="2412" t="s">
        <v>965</v>
      </c>
      <c r="B65" s="2413"/>
      <c r="C65" s="2413"/>
      <c r="D65" s="1937">
        <v>2369</v>
      </c>
      <c r="E65" s="1936">
        <f>'Expenditures 15-22'!K327</f>
        <v>1632</v>
      </c>
      <c r="F65" s="1931"/>
      <c r="G65" s="1935"/>
      <c r="H65" s="1934">
        <v>1632</v>
      </c>
      <c r="I65" s="1934"/>
      <c r="J65" s="1934"/>
      <c r="K65" s="1934"/>
      <c r="L65" s="1934"/>
      <c r="M65" s="1934"/>
      <c r="N65" s="1928">
        <f t="shared" si="3"/>
        <v>1632</v>
      </c>
    </row>
    <row r="66" spans="1:14" ht="24.75" customHeight="1" x14ac:dyDescent="0.25">
      <c r="A66" s="2412" t="s">
        <v>469</v>
      </c>
      <c r="B66" s="2413"/>
      <c r="C66" s="2413"/>
      <c r="D66" s="1937">
        <v>2371</v>
      </c>
      <c r="E66" s="1936">
        <f>'Expenditures 15-22'!K328</f>
        <v>0</v>
      </c>
      <c r="F66" s="1931"/>
      <c r="G66" s="1935"/>
      <c r="H66" s="1934"/>
      <c r="I66" s="1934"/>
      <c r="J66" s="1934"/>
      <c r="K66" s="1934"/>
      <c r="L66" s="1934"/>
      <c r="M66" s="1934"/>
      <c r="N66" s="1928">
        <f t="shared" si="3"/>
        <v>0</v>
      </c>
    </row>
    <row r="67" spans="1:14" ht="24.75" customHeight="1" x14ac:dyDescent="0.25">
      <c r="A67" s="2414" t="s">
        <v>2066</v>
      </c>
      <c r="B67" s="2415"/>
      <c r="C67" s="2415"/>
      <c r="D67" s="1933">
        <v>2372</v>
      </c>
      <c r="E67" s="1932">
        <f>'Expenditures 15-22'!K329</f>
        <v>0</v>
      </c>
      <c r="F67" s="1931"/>
      <c r="G67" s="1930"/>
      <c r="H67" s="1929"/>
      <c r="I67" s="1929"/>
      <c r="J67" s="1929"/>
      <c r="K67" s="1929"/>
      <c r="L67" s="1929"/>
      <c r="M67" s="1929"/>
      <c r="N67" s="1928">
        <f t="shared" si="3"/>
        <v>0</v>
      </c>
    </row>
    <row r="68" spans="1:14" x14ac:dyDescent="0.25">
      <c r="A68" s="2416" t="s">
        <v>1153</v>
      </c>
      <c r="B68" s="2417"/>
      <c r="C68" s="2417"/>
      <c r="D68" s="1927"/>
      <c r="E68" s="1925">
        <f>SUM(E57:E67)</f>
        <v>75320</v>
      </c>
      <c r="F68" s="1926"/>
      <c r="G68" s="1925">
        <f t="shared" ref="G68:N68" si="4">SUM(G57:G67)</f>
        <v>0</v>
      </c>
      <c r="H68" s="1925">
        <f t="shared" si="4"/>
        <v>75320</v>
      </c>
      <c r="I68" s="1925">
        <f t="shared" si="4"/>
        <v>0</v>
      </c>
      <c r="J68" s="1925">
        <f t="shared" si="4"/>
        <v>0</v>
      </c>
      <c r="K68" s="1925">
        <f t="shared" si="4"/>
        <v>0</v>
      </c>
      <c r="L68" s="1925">
        <f t="shared" si="4"/>
        <v>0</v>
      </c>
      <c r="M68" s="1925">
        <f t="shared" si="4"/>
        <v>0</v>
      </c>
      <c r="N68" s="1924">
        <f t="shared" si="4"/>
        <v>75320</v>
      </c>
    </row>
    <row r="69" spans="1:14" x14ac:dyDescent="0.25">
      <c r="A69" s="1920"/>
      <c r="B69" s="1919"/>
      <c r="C69" s="1919"/>
      <c r="D69" s="1919"/>
      <c r="E69" s="1919"/>
      <c r="F69" s="1919"/>
      <c r="G69" s="1919"/>
      <c r="H69" s="1923" t="s">
        <v>2065</v>
      </c>
      <c r="I69" s="1919"/>
      <c r="J69" s="1919"/>
      <c r="K69" s="1919"/>
      <c r="L69" s="1923" t="s">
        <v>2064</v>
      </c>
      <c r="M69" s="1919"/>
      <c r="N69" s="1922"/>
    </row>
    <row r="70" spans="1:14" ht="46.5" customHeight="1" x14ac:dyDescent="0.25">
      <c r="A70" s="1921" t="s">
        <v>2063</v>
      </c>
      <c r="B70" s="1919"/>
      <c r="C70" s="1919"/>
      <c r="D70" s="1919"/>
      <c r="E70" s="1919"/>
      <c r="F70" s="1919"/>
      <c r="G70" s="1919"/>
      <c r="H70" s="2418" t="s">
        <v>2062</v>
      </c>
      <c r="I70" s="2418"/>
      <c r="J70" s="2418"/>
      <c r="K70" s="1919"/>
      <c r="L70" s="2418" t="s">
        <v>2061</v>
      </c>
      <c r="M70" s="2418"/>
      <c r="N70" s="2419"/>
    </row>
    <row r="71" spans="1:14" ht="42.75" customHeight="1" x14ac:dyDescent="0.25">
      <c r="A71" s="1920"/>
      <c r="B71" s="1919"/>
      <c r="C71" s="1919"/>
      <c r="D71" s="1919"/>
      <c r="E71" s="1919"/>
      <c r="F71" s="1919"/>
      <c r="G71" s="1919"/>
      <c r="H71" s="2418" t="s">
        <v>2060</v>
      </c>
      <c r="I71" s="2418"/>
      <c r="J71" s="2418"/>
      <c r="K71" s="1919"/>
      <c r="L71" s="2409" t="s">
        <v>2059</v>
      </c>
      <c r="M71" s="2409"/>
      <c r="N71" s="2410"/>
    </row>
    <row r="72" spans="1:14" ht="52.5" customHeight="1" thickBot="1" x14ac:dyDescent="0.3">
      <c r="A72" s="1918"/>
      <c r="B72" s="1917"/>
      <c r="C72" s="1917"/>
      <c r="D72" s="1917"/>
      <c r="E72" s="1917"/>
      <c r="F72" s="1917"/>
      <c r="G72" s="1917"/>
      <c r="H72" s="2411" t="s">
        <v>2058</v>
      </c>
      <c r="I72" s="2411"/>
      <c r="J72" s="2411"/>
      <c r="K72" s="1917"/>
      <c r="L72" s="1917"/>
      <c r="M72" s="1917"/>
      <c r="N72" s="1916"/>
    </row>
  </sheetData>
  <sheetProtection algorithmName="SHA-512" hashValue="wvV9QtWobMydH3zGoZz4VH+4X7hhi5SFuwYWT02VSVdUMMTuzYuDKS4SLK3LuMMhVy9kUHZEYRZOaax5h3gvwA==" saltValue="UOJPWUTUEcLsbKlWyYUckw==" spinCount="100000" sheet="1" objects="1" scenarios="1"/>
  <mergeCells count="39">
    <mergeCell ref="J6:L6"/>
    <mergeCell ref="A7:E7"/>
    <mergeCell ref="J7:L7"/>
    <mergeCell ref="A11:C11"/>
    <mergeCell ref="B18:D18"/>
    <mergeCell ref="B20:D20"/>
    <mergeCell ref="C27:D27"/>
    <mergeCell ref="F27:H27"/>
    <mergeCell ref="F28:H28"/>
    <mergeCell ref="C29:D29"/>
    <mergeCell ref="F29:H29"/>
    <mergeCell ref="F30:H30"/>
    <mergeCell ref="C34:J35"/>
    <mergeCell ref="C37:J38"/>
    <mergeCell ref="C40:J40"/>
    <mergeCell ref="A43:N43"/>
    <mergeCell ref="A46:N47"/>
    <mergeCell ref="L52:N52"/>
    <mergeCell ref="L53:N53"/>
    <mergeCell ref="A55:C55"/>
    <mergeCell ref="G55:N55"/>
    <mergeCell ref="A56:C56"/>
    <mergeCell ref="A57:C57"/>
    <mergeCell ref="A58:C58"/>
    <mergeCell ref="A59:C59"/>
    <mergeCell ref="A60:C60"/>
    <mergeCell ref="A61:C61"/>
    <mergeCell ref="A62:C62"/>
    <mergeCell ref="A63:C63"/>
    <mergeCell ref="A64:C64"/>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CB00FA17-6F32-4EDF-8C07-AB71BB1C1CC8}"/>
    <dataValidation allowBlank="1" showInputMessage="1" showErrorMessage="1" prompt="Link cell A13 from &quot;Cover&quot; tab" sqref="J7:L7" xr:uid="{E8C91339-CA5C-4B95-B591-F4C2D1612E10}"/>
    <dataValidation allowBlank="1" showInputMessage="1" showErrorMessage="1" prompt="Link cell K50 from &quot;Expenditures 15-22&quot; tab " sqref="E12" xr:uid="{54723619-6B3C-4B93-B09B-4DC364D0B95E}"/>
    <dataValidation allowBlank="1" showInputMessage="1" showErrorMessage="1" prompt="Link cell K51 from &quot;Expenditures 15-22&quot; tab" sqref="E13" xr:uid="{B01842F9-6678-431C-9AA6-F176FCEC9286}"/>
    <dataValidation allowBlank="1" showInputMessage="1" showErrorMessage="1" prompt="Link cell K56 from &quot;Expenditures 15-22&quot; tab" sqref="E14" xr:uid="{35E5D8D3-5A8A-41AD-966E-FD61EBD3C240}"/>
    <dataValidation allowBlank="1" showInputMessage="1" showErrorMessage="1" prompt="Link cell K59 from &quot;Expenditures 15-22&quot; tab" sqref="E15" xr:uid="{A80A8C1E-1623-44A3-BCDD-D1F1527F75CE}"/>
    <dataValidation allowBlank="1" showInputMessage="1" showErrorMessage="1" prompt="Link cell K64 from &quot;Expenditures 15-22&quot; tab" sqref="E16" xr:uid="{BEAB2EAD-309B-41B0-9179-2757AC567B5A}"/>
    <dataValidation allowBlank="1" showInputMessage="1" showErrorMessage="1" prompt="Link cell K67 from &quot;Expenditures 15-22&quot; tab" sqref="E17" xr:uid="{F8A8B240-88E8-4FB6-B143-09AC9A5D0544}"/>
    <dataValidation allowBlank="1" showInputMessage="1" showErrorMessage="1" prompt="Link cell K122 from &quot;Expenditures 15-22&quot; tab" sqref="F15" xr:uid="{0F742F76-ED60-41BE-856C-3F52430FDB6C}"/>
    <dataValidation allowBlank="1" showInputMessage="1" showErrorMessage="1" prompt="Link cell K319 from &quot;Expenditures 15-22&quot; tab" sqref="E57" xr:uid="{885B7009-61AC-4A25-9AF8-2EB13401225E}"/>
    <dataValidation allowBlank="1" showInputMessage="1" showErrorMessage="1" prompt="Link cell K320 from &quot;Expenditures 15-22&quot; tab" sqref="E58" xr:uid="{EA01F4D0-0322-4F34-93D4-9109859857EB}"/>
    <dataValidation allowBlank="1" showInputMessage="1" showErrorMessage="1" prompt="Link cell K321 from &quot;Expenditures 15-22&quot; tab" sqref="E59" xr:uid="{8530F440-FB30-4C7B-A190-9922F45BFDC6}"/>
    <dataValidation allowBlank="1" showInputMessage="1" showErrorMessage="1" prompt="Link cell K322 from &quot;Expenditures 15-22&quot; tab" sqref="E60" xr:uid="{96237C20-310E-47D1-B3B4-17A38CA8B3E6}"/>
    <dataValidation allowBlank="1" showInputMessage="1" showErrorMessage="1" prompt="Link cell K323 from &quot;Expenditures 15-22&quot; tab" sqref="E61" xr:uid="{201E6F12-EFB6-4432-A404-F7EAF15F072A}"/>
    <dataValidation allowBlank="1" showInputMessage="1" showErrorMessage="1" prompt="Link cell K324 from &quot;Expenditures 15-22&quot; tab" sqref="E62" xr:uid="{ED0F56CD-1017-4210-AF15-D2906A8000A5}"/>
    <dataValidation allowBlank="1" showInputMessage="1" showErrorMessage="1" prompt="Link cell K325 from &quot;Expenditures 15-22&quot; tab" sqref="E63" xr:uid="{E56E6BB1-2412-4EA1-A570-A23B569A33EA}"/>
    <dataValidation allowBlank="1" showInputMessage="1" showErrorMessage="1" prompt="Link cell K326 from &quot;Expenditures 15-22&quot; tab" sqref="E64" xr:uid="{F780211E-1393-4D51-B311-86ECE925708F}"/>
    <dataValidation allowBlank="1" showInputMessage="1" showErrorMessage="1" prompt="Link cell K327 from &quot;Expenditures 15-22&quot; tab" sqref="E65" xr:uid="{E40094B2-E9F7-44CD-A6F1-B89D62950B88}"/>
    <dataValidation allowBlank="1" showInputMessage="1" showErrorMessage="1" prompt="Link cell K328 from &quot;Expenditures 15-22&quot; tab" sqref="E66" xr:uid="{E32650BF-9F4D-464D-8C24-A9EDA751A090}"/>
    <dataValidation allowBlank="1" showInputMessage="1" showErrorMessage="1" prompt="Link cell K329 from &quot;Expenditures 15-22&quot; tab" sqref="E67" xr:uid="{0DCB918B-E472-43A4-A73F-5ACA25487584}"/>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 sqref="A4:L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2045</v>
      </c>
    </row>
    <row r="6" spans="1:2" x14ac:dyDescent="0.2">
      <c r="A6" s="840"/>
      <c r="B6" s="307" t="s">
        <v>2046</v>
      </c>
    </row>
    <row r="7" spans="1:2" x14ac:dyDescent="0.2">
      <c r="A7" s="840"/>
      <c r="B7" s="307" t="s">
        <v>2047</v>
      </c>
    </row>
    <row r="8" spans="1:2" x14ac:dyDescent="0.2">
      <c r="A8" s="840"/>
      <c r="B8" s="307" t="s">
        <v>2048</v>
      </c>
    </row>
    <row r="9" spans="1:2" x14ac:dyDescent="0.2">
      <c r="A9" s="841"/>
      <c r="B9" s="307" t="s">
        <v>2049</v>
      </c>
    </row>
    <row r="10" spans="1:2" x14ac:dyDescent="0.2">
      <c r="A10" s="841"/>
      <c r="B10" s="307" t="s">
        <v>2050</v>
      </c>
    </row>
    <row r="11" spans="1:2" x14ac:dyDescent="0.2">
      <c r="A11" s="841"/>
      <c r="B11" s="307" t="s">
        <v>2051</v>
      </c>
    </row>
    <row r="12" spans="1:2" x14ac:dyDescent="0.2">
      <c r="A12" s="841"/>
      <c r="B12" s="307" t="s">
        <v>2052</v>
      </c>
    </row>
    <row r="13" spans="1:2" x14ac:dyDescent="0.2">
      <c r="A13" s="841"/>
      <c r="B13" s="307" t="s">
        <v>2053</v>
      </c>
    </row>
    <row r="14" spans="1:2" x14ac:dyDescent="0.2">
      <c r="A14" s="841"/>
    </row>
    <row r="15" spans="1:2" x14ac:dyDescent="0.2">
      <c r="A15" s="841">
        <v>2</v>
      </c>
      <c r="B15" s="307" t="s">
        <v>2054</v>
      </c>
    </row>
    <row r="16" spans="1:2" x14ac:dyDescent="0.2">
      <c r="A16" s="841"/>
      <c r="B16" s="1913" t="s">
        <v>2055</v>
      </c>
    </row>
    <row r="17" spans="1:2" x14ac:dyDescent="0.2">
      <c r="A17" s="841"/>
      <c r="B17" s="307" t="s">
        <v>2056</v>
      </c>
    </row>
    <row r="18" spans="1:2" x14ac:dyDescent="0.2">
      <c r="A18" s="841"/>
      <c r="B18" s="307" t="s">
        <v>2057</v>
      </c>
    </row>
    <row r="19" spans="1:2" x14ac:dyDescent="0.2">
      <c r="A19" s="841"/>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Northwestern CUSD 2</v>
      </c>
    </row>
    <row r="65" spans="2:2" x14ac:dyDescent="0.2">
      <c r="B65" s="842">
        <f>COVER!A13</f>
        <v>40056002026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L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6" sqref="C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2" t="s">
        <v>1668</v>
      </c>
      <c r="B18" s="246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3" t="s">
        <v>1672</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46"/>
      <c r="H2" s="846"/>
    </row>
    <row r="3" spans="1:8" ht="57" customHeight="1" x14ac:dyDescent="0.2">
      <c r="A3" s="2476" t="s">
        <v>1975</v>
      </c>
      <c r="B3" s="2477"/>
      <c r="C3" s="2477"/>
      <c r="D3" s="2477"/>
      <c r="E3" s="2477"/>
      <c r="F3" s="2478"/>
      <c r="G3" s="846"/>
      <c r="H3" s="846"/>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46"/>
      <c r="H4" s="846"/>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46"/>
      <c r="H5" s="846"/>
    </row>
    <row r="6" spans="1:8" s="847" customFormat="1" ht="41.25" customHeight="1" x14ac:dyDescent="0.2">
      <c r="A6" s="2479" t="s">
        <v>1673</v>
      </c>
      <c r="B6" s="2480"/>
      <c r="C6" s="2480"/>
      <c r="D6" s="2480"/>
      <c r="E6" s="2480"/>
      <c r="F6" s="2481"/>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3850670</v>
      </c>
      <c r="C8" s="1806">
        <f>'Acct Summary 7-8'!D8</f>
        <v>293333</v>
      </c>
      <c r="D8" s="1806">
        <f>'Acct Summary 7-8'!F8</f>
        <v>388126</v>
      </c>
      <c r="E8" s="1806">
        <f>'Acct Summary 7-8'!I8</f>
        <v>12963</v>
      </c>
      <c r="F8" s="1806">
        <f>SUM(B8:E8)</f>
        <v>4545092</v>
      </c>
    </row>
    <row r="9" spans="1:8" s="851" customFormat="1" ht="14.25" customHeight="1" thickBot="1" x14ac:dyDescent="0.25">
      <c r="A9" s="850" t="s">
        <v>1355</v>
      </c>
      <c r="B9" s="1807">
        <f>'Acct Summary 7-8'!C17</f>
        <v>3828310</v>
      </c>
      <c r="C9" s="1807">
        <f>'Acct Summary 7-8'!D17</f>
        <v>278194</v>
      </c>
      <c r="D9" s="1807">
        <f>'Acct Summary 7-8'!F17</f>
        <v>398206</v>
      </c>
      <c r="E9" s="1806"/>
      <c r="F9" s="1806">
        <f>SUM(B9:E9)</f>
        <v>4504710</v>
      </c>
    </row>
    <row r="10" spans="1:8" s="851" customFormat="1" ht="14.25" thickTop="1" thickBot="1" x14ac:dyDescent="0.25">
      <c r="A10" s="852" t="s">
        <v>1356</v>
      </c>
      <c r="B10" s="1808">
        <f>(B8-B9)</f>
        <v>22360</v>
      </c>
      <c r="C10" s="1808">
        <f>(C8-C9)</f>
        <v>15139</v>
      </c>
      <c r="D10" s="1808">
        <f>(D8-D9)</f>
        <v>-10080</v>
      </c>
      <c r="E10" s="1807">
        <f>(E8-E9)</f>
        <v>12963</v>
      </c>
      <c r="F10" s="1809">
        <f>SUM(F8-F9)</f>
        <v>40382</v>
      </c>
    </row>
    <row r="11" spans="1:8" s="851" customFormat="1" ht="14.25" thickTop="1" thickBot="1" x14ac:dyDescent="0.25">
      <c r="A11" s="853" t="s">
        <v>1906</v>
      </c>
      <c r="B11" s="1810">
        <f>'Acct Summary 7-8'!C81</f>
        <v>4183717</v>
      </c>
      <c r="C11" s="1810">
        <f>'Acct Summary 7-8'!D81</f>
        <v>1047923</v>
      </c>
      <c r="D11" s="1810">
        <f>'Acct Summary 7-8'!F81</f>
        <v>361685</v>
      </c>
      <c r="E11" s="1810">
        <f>'Acct Summary 7-8'!I81</f>
        <v>281431</v>
      </c>
      <c r="F11" s="1811">
        <f>SUM(B11:E11)</f>
        <v>5874756</v>
      </c>
    </row>
    <row r="12" spans="1:8" ht="16.5" customHeight="1" thickTop="1" x14ac:dyDescent="0.2">
      <c r="A12" s="854"/>
      <c r="B12" s="855"/>
      <c r="C12" s="2467" t="str">
        <f>IF(AND(F10&lt;0,F11&gt;=0,ABS(F10*3)&gt;ABS(F11)),A16,IF(AND(F10&lt;0,F11&gt;0,ABS(F10*3)&lt;=ABS(F11)),A17,IF(AND(F10&lt;0,F11&lt;0),A16,IF(F11=0,A19,A18))))</f>
        <v>Balanced - no deficit reduction plan is required.</v>
      </c>
      <c r="D12" s="2468"/>
      <c r="E12" s="2468"/>
      <c r="F12" s="2469"/>
    </row>
    <row r="13" spans="1:8" ht="19.5" customHeight="1" x14ac:dyDescent="0.2">
      <c r="A13" s="856"/>
      <c r="B13" s="857"/>
      <c r="C13" s="2467"/>
      <c r="D13" s="2468"/>
      <c r="E13" s="2468"/>
      <c r="F13" s="2469"/>
      <c r="H13" s="846"/>
    </row>
    <row r="14" spans="1:8" ht="19.5" customHeight="1" x14ac:dyDescent="0.2">
      <c r="A14" s="856"/>
      <c r="B14" s="857"/>
      <c r="C14" s="2467"/>
      <c r="D14" s="2468"/>
      <c r="E14" s="2468"/>
      <c r="F14" s="2469"/>
      <c r="H14" s="846"/>
    </row>
    <row r="15" spans="1:8" ht="17.25" customHeight="1" x14ac:dyDescent="0.2">
      <c r="A15" s="856"/>
      <c r="B15" s="857"/>
      <c r="C15" s="2470"/>
      <c r="D15" s="2471"/>
      <c r="E15" s="2471"/>
      <c r="F15" s="2472"/>
      <c r="H15" s="846"/>
    </row>
    <row r="16" spans="1:8" s="288" customFormat="1" ht="51.75" hidden="1" customHeight="1" x14ac:dyDescent="0.2">
      <c r="A16" s="2466" t="s">
        <v>1669</v>
      </c>
      <c r="B16" s="2466"/>
      <c r="C16" s="2466"/>
      <c r="D16" s="2466"/>
      <c r="E16" s="2466"/>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1"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88" t="s">
        <v>660</v>
      </c>
      <c r="B3" s="2489"/>
      <c r="C3" s="2489"/>
      <c r="D3" s="2490"/>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499" t="s">
        <v>1490</v>
      </c>
      <c r="D7" s="2500"/>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1" t="s">
        <v>1001</v>
      </c>
      <c r="B15" s="2492"/>
      <c r="C15" s="2492"/>
      <c r="D15" s="2493"/>
    </row>
    <row r="16" spans="1:4" s="542" customFormat="1" ht="24" customHeight="1" x14ac:dyDescent="0.2">
      <c r="A16" s="2494" t="s">
        <v>658</v>
      </c>
      <c r="B16" s="2495"/>
      <c r="C16" s="2495"/>
      <c r="D16" s="2496"/>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3" t="s">
        <v>311</v>
      </c>
      <c r="D21" s="2504"/>
    </row>
    <row r="22" spans="1:10" ht="12.75" x14ac:dyDescent="0.2">
      <c r="A22" s="911"/>
      <c r="B22" s="912">
        <v>2</v>
      </c>
      <c r="C22" s="2501" t="s">
        <v>1510</v>
      </c>
      <c r="D22" s="2502"/>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5" t="s">
        <v>533</v>
      </c>
      <c r="D43" s="2506"/>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497" t="s">
        <v>779</v>
      </c>
      <c r="D56" s="2498"/>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ERROR!</v>
      </c>
    </row>
    <row r="69" spans="1:4" x14ac:dyDescent="0.2">
      <c r="A69" s="872"/>
      <c r="B69" s="882"/>
      <c r="C69" s="874" t="s">
        <v>1885</v>
      </c>
      <c r="D69" s="896" t="str">
        <f>IF('Expenditures 15-22'!H170&lt;&gt;'Short-Term Long-Term Debt 24'!H49,"ERROR!","OK")</f>
        <v>ERROR!</v>
      </c>
    </row>
    <row r="70" spans="1:4" x14ac:dyDescent="0.2">
      <c r="A70" s="870"/>
      <c r="B70" s="892">
        <f>B66+1</f>
        <v>9</v>
      </c>
      <c r="C70" s="2497" t="s">
        <v>1677</v>
      </c>
      <c r="D70" s="2498"/>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ht="22.5" x14ac:dyDescent="0.2">
      <c r="A82" s="870"/>
      <c r="B82" s="892">
        <v>15</v>
      </c>
      <c r="C82" s="902" t="s">
        <v>1887</v>
      </c>
      <c r="D82" s="1892"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40056002026</v>
      </c>
      <c r="E2" s="1535">
        <v>2020</v>
      </c>
      <c r="F2" s="1535">
        <v>1</v>
      </c>
      <c r="G2" s="1890">
        <v>101000300</v>
      </c>
    </row>
    <row r="3" spans="1:7" ht="15" x14ac:dyDescent="0.25">
      <c r="A3" t="s">
        <v>950</v>
      </c>
      <c r="B3" s="135" t="str">
        <f>COVER!A15</f>
        <v>MACOUPIN</v>
      </c>
      <c r="E3" s="1823" t="s">
        <v>1974</v>
      </c>
      <c r="F3" s="1823" t="s">
        <v>1973</v>
      </c>
      <c r="G3" s="1890">
        <v>101000400</v>
      </c>
    </row>
    <row r="4" spans="1:7" ht="15" x14ac:dyDescent="0.25">
      <c r="A4" t="s">
        <v>1000</v>
      </c>
      <c r="B4" s="135" t="str">
        <f>COVER!A17</f>
        <v xml:space="preserve">   Northwestern CUSD 2</v>
      </c>
      <c r="E4" s="1821">
        <v>44119</v>
      </c>
      <c r="F4" s="1822">
        <v>44151</v>
      </c>
      <c r="G4" s="1890">
        <v>101000600</v>
      </c>
    </row>
    <row r="5" spans="1:7" ht="15" x14ac:dyDescent="0.25">
      <c r="A5" t="s">
        <v>699</v>
      </c>
      <c r="B5" s="135" t="str">
        <f>COVER!A38</f>
        <v>KEVIN BOWMAN</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t="str">
        <f>COVER!T38</f>
        <v>MICHELLE MUELLER</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No</v>
      </c>
      <c r="G14" s="1890">
        <v>402100300</v>
      </c>
    </row>
    <row r="15" spans="1:7" ht="15" x14ac:dyDescent="0.25">
      <c r="A15" t="s">
        <v>573</v>
      </c>
      <c r="B15" s="135" t="str">
        <f>COVER!T23</f>
        <v>066-004886</v>
      </c>
      <c r="G15" s="1890">
        <v>402100400</v>
      </c>
    </row>
    <row r="16" spans="1:7" ht="15" x14ac:dyDescent="0.25">
      <c r="A16" t="s">
        <v>419</v>
      </c>
      <c r="B16" s="135" t="str">
        <f>COVER!T13</f>
        <v>LOY MILLER TALLEY, PC</v>
      </c>
      <c r="G16" s="1890">
        <v>402100600</v>
      </c>
    </row>
    <row r="17" spans="1:7" ht="15" x14ac:dyDescent="0.25">
      <c r="A17" t="s">
        <v>878</v>
      </c>
      <c r="B17" s="135" t="str">
        <f>COVER!T15</f>
        <v>KENNETH E. LOY, CPA</v>
      </c>
      <c r="G17" s="1890">
        <v>402100800</v>
      </c>
    </row>
    <row r="18" spans="1:7" ht="15" x14ac:dyDescent="0.25">
      <c r="A18" t="s">
        <v>1142</v>
      </c>
      <c r="B18" s="135" t="str">
        <f>COVER!T17</f>
        <v>2 CROSSROADS COURT</v>
      </c>
      <c r="G18" s="1890">
        <v>102200300</v>
      </c>
    </row>
    <row r="19" spans="1:7" ht="15" x14ac:dyDescent="0.25">
      <c r="A19" t="s">
        <v>880</v>
      </c>
      <c r="B19" s="135" t="str">
        <f>COVER!T25</f>
        <v>ken@lmtcpas.com</v>
      </c>
      <c r="G19" s="1890">
        <v>102200400</v>
      </c>
    </row>
    <row r="20" spans="1:7" ht="15" x14ac:dyDescent="0.25">
      <c r="A20" t="s">
        <v>881</v>
      </c>
      <c r="B20" s="135" t="str">
        <f>COVER!T19</f>
        <v>ALTON</v>
      </c>
      <c r="G20" s="1890">
        <v>102200600</v>
      </c>
    </row>
    <row r="21" spans="1:7" ht="15" x14ac:dyDescent="0.25">
      <c r="A21" t="s">
        <v>476</v>
      </c>
      <c r="B21" s="135" t="str">
        <f>COVER!X19</f>
        <v>IL</v>
      </c>
      <c r="G21" s="1890">
        <v>102200800</v>
      </c>
    </row>
    <row r="22" spans="1:7" ht="15" x14ac:dyDescent="0.25">
      <c r="A22" t="s">
        <v>882</v>
      </c>
      <c r="B22" s="135">
        <f>COVER!Z19</f>
        <v>62002</v>
      </c>
      <c r="G22" s="1890">
        <v>102300300</v>
      </c>
    </row>
    <row r="23" spans="1:7" ht="15" x14ac:dyDescent="0.25">
      <c r="A23" t="s">
        <v>1144</v>
      </c>
      <c r="B23" s="135" t="str">
        <f>COVER!T21</f>
        <v>618-465-1196</v>
      </c>
      <c r="G23" s="1890">
        <v>102300400</v>
      </c>
    </row>
    <row r="24" spans="1:7" ht="15" x14ac:dyDescent="0.25">
      <c r="A24" t="s">
        <v>1143</v>
      </c>
      <c r="B24" s="135">
        <f>COVER!Y21</f>
        <v>0</v>
      </c>
      <c r="G24" s="1890">
        <v>102300600</v>
      </c>
    </row>
    <row r="25" spans="1:7" ht="15" x14ac:dyDescent="0.25">
      <c r="A25" t="s">
        <v>756</v>
      </c>
      <c r="B25" s="135" t="str">
        <f>COVER!B34</f>
        <v>X</v>
      </c>
      <c r="G25" s="1890">
        <v>102300800</v>
      </c>
    </row>
    <row r="26" spans="1:7" ht="15" x14ac:dyDescent="0.25">
      <c r="A26" t="s">
        <v>1145</v>
      </c>
      <c r="B26" s="135">
        <f>COVER!L34</f>
        <v>0</v>
      </c>
      <c r="G26" s="1890">
        <v>802300300</v>
      </c>
    </row>
    <row r="27" spans="1:7" ht="15" x14ac:dyDescent="0.25">
      <c r="A27" t="s">
        <v>266</v>
      </c>
      <c r="B27" s="135" t="str">
        <f>COVER!U34</f>
        <v>X</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Yes</v>
      </c>
      <c r="G49" s="1890">
        <v>102540800</v>
      </c>
    </row>
    <row r="50" spans="1:7" ht="15" x14ac:dyDescent="0.25">
      <c r="A50" s="1" t="s">
        <v>1466</v>
      </c>
      <c r="B50" s="146">
        <f>'Aud Quest 2'!H53</f>
        <v>35374</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2250000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4183717</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4183717</v>
      </c>
      <c r="D92" s="2" t="str">
        <f t="shared" si="0"/>
        <v>Error?</v>
      </c>
      <c r="G92" s="1890">
        <v>102640600</v>
      </c>
    </row>
    <row r="93" spans="1:7" ht="15" x14ac:dyDescent="0.25">
      <c r="A93" s="5">
        <v>32</v>
      </c>
      <c r="B93" s="1825">
        <f>'Assets-Liab 5-6'!C41</f>
        <v>4183717</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750000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1047923</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1047923</v>
      </c>
      <c r="D123" s="2" t="str">
        <f t="shared" si="0"/>
        <v>Error?</v>
      </c>
      <c r="G123" s="1890">
        <v>203000400</v>
      </c>
    </row>
    <row r="124" spans="1:7" ht="15" x14ac:dyDescent="0.25">
      <c r="A124" s="5">
        <v>63</v>
      </c>
      <c r="B124" s="1825">
        <f>'Assets-Liab 5-6'!D41</f>
        <v>1047923</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10558</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10558</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361685</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361685</v>
      </c>
      <c r="D170" s="2" t="str">
        <f t="shared" si="1"/>
        <v>Error?</v>
      </c>
    </row>
    <row r="171" spans="1:4" x14ac:dyDescent="0.2">
      <c r="A171" s="5">
        <v>110</v>
      </c>
      <c r="B171" s="1825">
        <f>'Assets-Liab 5-6'!F41</f>
        <v>361685</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55210</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55210</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168218</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168218</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38961</v>
      </c>
      <c r="D273" s="2" t="str">
        <f t="shared" si="3"/>
        <v>Error?</v>
      </c>
    </row>
    <row r="274" spans="1:4" x14ac:dyDescent="0.2">
      <c r="A274" s="5">
        <v>213</v>
      </c>
      <c r="B274" s="1825">
        <f>'Assets-Liab 5-6'!M17</f>
        <v>3413056</v>
      </c>
      <c r="D274" s="2" t="str">
        <f t="shared" si="3"/>
        <v>Error?</v>
      </c>
    </row>
    <row r="275" spans="1:4" x14ac:dyDescent="0.2">
      <c r="A275" s="5">
        <v>214</v>
      </c>
      <c r="B275" s="1825">
        <f>'Assets-Liab 5-6'!M18</f>
        <v>56161</v>
      </c>
      <c r="D275" s="2" t="str">
        <f t="shared" si="3"/>
        <v>Error?</v>
      </c>
    </row>
    <row r="276" spans="1:4" x14ac:dyDescent="0.2">
      <c r="A276" s="5">
        <v>215</v>
      </c>
      <c r="B276" s="1825">
        <f>'Assets-Liab 5-6'!M19</f>
        <v>2912635</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6420813</v>
      </c>
      <c r="C279" s="2" t="s">
        <v>569</v>
      </c>
      <c r="D279" s="2" t="str">
        <f t="shared" si="3"/>
        <v>Error?</v>
      </c>
    </row>
    <row r="280" spans="1:4" x14ac:dyDescent="0.2">
      <c r="A280" s="5">
        <v>219</v>
      </c>
      <c r="B280" s="1825">
        <f>'Assets-Liab 5-6'!M40</f>
        <v>6420813</v>
      </c>
      <c r="D280" s="2" t="str">
        <f t="shared" si="3"/>
        <v>Error?</v>
      </c>
    </row>
    <row r="281" spans="1:4" x14ac:dyDescent="0.2">
      <c r="A281" s="5">
        <v>220</v>
      </c>
      <c r="B281" s="1825">
        <f>'Assets-Liab 5-6'!M41</f>
        <v>6420813</v>
      </c>
      <c r="C281" s="2" t="s">
        <v>569</v>
      </c>
      <c r="D281" s="2" t="str">
        <f t="shared" si="3"/>
        <v>Error?</v>
      </c>
    </row>
    <row r="282" spans="1:4" x14ac:dyDescent="0.2">
      <c r="A282" s="5">
        <v>221</v>
      </c>
      <c r="B282" s="1825">
        <f>'Assets-Liab 5-6'!N21</f>
        <v>10558</v>
      </c>
      <c r="D282" s="2" t="str">
        <f t="shared" si="3"/>
        <v>Error?</v>
      </c>
    </row>
    <row r="283" spans="1:4" x14ac:dyDescent="0.2">
      <c r="A283" s="5">
        <v>222</v>
      </c>
      <c r="B283" s="1825">
        <f>'Assets-Liab 5-6'!N22</f>
        <v>650231</v>
      </c>
      <c r="D283" s="2" t="str">
        <f t="shared" si="3"/>
        <v>Error?</v>
      </c>
    </row>
    <row r="284" spans="1:4" x14ac:dyDescent="0.2">
      <c r="A284" s="5">
        <v>223</v>
      </c>
      <c r="B284" s="1825">
        <f>'Assets-Liab 5-6'!N23</f>
        <v>660789</v>
      </c>
      <c r="C284" s="2" t="s">
        <v>569</v>
      </c>
      <c r="D284" s="2" t="str">
        <f t="shared" si="3"/>
        <v>Error?</v>
      </c>
    </row>
    <row r="285" spans="1:4" x14ac:dyDescent="0.2">
      <c r="A285" s="5">
        <v>224</v>
      </c>
      <c r="B285" s="1825">
        <f>'Assets-Liab 5-6'!N36</f>
        <v>660789</v>
      </c>
      <c r="D285" s="2" t="str">
        <f t="shared" si="3"/>
        <v>Error?</v>
      </c>
    </row>
    <row r="286" spans="1:4" x14ac:dyDescent="0.2">
      <c r="A286" s="10">
        <v>225</v>
      </c>
      <c r="B286" s="1825"/>
      <c r="D286" s="2" t="str">
        <f t="shared" si="3"/>
        <v>OK</v>
      </c>
    </row>
    <row r="287" spans="1:4" x14ac:dyDescent="0.2">
      <c r="A287" s="5">
        <v>226</v>
      </c>
      <c r="B287" s="1825">
        <f>'Assets-Liab 5-6'!N37</f>
        <v>660789</v>
      </c>
      <c r="C287" s="2" t="s">
        <v>569</v>
      </c>
      <c r="D287" s="2" t="str">
        <f t="shared" si="3"/>
        <v>Error?</v>
      </c>
    </row>
    <row r="288" spans="1:4" x14ac:dyDescent="0.2">
      <c r="A288" s="5">
        <v>227</v>
      </c>
      <c r="B288" s="1825">
        <f>'Assets-Liab 5-6'!N41</f>
        <v>660789</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1125078</v>
      </c>
      <c r="D705" s="2" t="str">
        <f t="shared" si="10"/>
        <v>Error?</v>
      </c>
    </row>
    <row r="706" spans="1:4" x14ac:dyDescent="0.2">
      <c r="A706" s="5">
        <v>645</v>
      </c>
      <c r="B706" s="1825">
        <f>'Expenditures 15-22'!C16</f>
        <v>1006</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127875</v>
      </c>
      <c r="D717" s="2" t="str">
        <f t="shared" si="10"/>
        <v>Error?</v>
      </c>
    </row>
    <row r="718" spans="1:4" x14ac:dyDescent="0.2">
      <c r="A718" s="5">
        <v>657</v>
      </c>
      <c r="B718" s="1825">
        <f>'Expenditures 15-22'!C14</f>
        <v>20087</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1734043</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40334</v>
      </c>
      <c r="D722" s="2" t="str">
        <f t="shared" si="10"/>
        <v>Error?</v>
      </c>
    </row>
    <row r="723" spans="1:4" x14ac:dyDescent="0.2">
      <c r="A723" s="5">
        <v>662</v>
      </c>
      <c r="B723" s="1825">
        <f>'Expenditures 15-22'!C38</f>
        <v>47061</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56216</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143611</v>
      </c>
      <c r="C727" s="2" t="s">
        <v>569</v>
      </c>
      <c r="D727" s="2" t="str">
        <f t="shared" si="10"/>
        <v>Error?</v>
      </c>
    </row>
    <row r="728" spans="1:4" x14ac:dyDescent="0.2">
      <c r="A728" s="5">
        <v>667</v>
      </c>
      <c r="B728" s="1825">
        <f>'Expenditures 15-22'!C44</f>
        <v>3373</v>
      </c>
      <c r="D728" s="2" t="str">
        <f t="shared" si="10"/>
        <v>Error?</v>
      </c>
    </row>
    <row r="729" spans="1:4" x14ac:dyDescent="0.2">
      <c r="A729" s="5">
        <v>668</v>
      </c>
      <c r="B729" s="1825">
        <f>'Expenditures 15-22'!C45</f>
        <v>74060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77433</v>
      </c>
      <c r="C731" s="2" t="s">
        <v>569</v>
      </c>
      <c r="D731" s="2" t="str">
        <f t="shared" si="10"/>
        <v>Error?</v>
      </c>
    </row>
    <row r="732" spans="1:4" x14ac:dyDescent="0.2">
      <c r="A732" s="5">
        <v>671</v>
      </c>
      <c r="B732" s="1825">
        <f>'Expenditures 15-22'!C49</f>
        <v>3413</v>
      </c>
      <c r="D732" s="2" t="str">
        <f t="shared" si="10"/>
        <v>Error?</v>
      </c>
    </row>
    <row r="733" spans="1:4" x14ac:dyDescent="0.2">
      <c r="A733" s="5">
        <v>672</v>
      </c>
      <c r="B733" s="1825">
        <f>'Expenditures 15-22'!C50</f>
        <v>105004</v>
      </c>
      <c r="D733" s="2" t="str">
        <f t="shared" si="10"/>
        <v>Error?</v>
      </c>
    </row>
    <row r="734" spans="1:4" x14ac:dyDescent="0.2">
      <c r="A734" s="5">
        <v>673</v>
      </c>
      <c r="B734" s="1825">
        <f>'Expenditures 15-22'!C53</f>
        <v>109917</v>
      </c>
      <c r="C734" s="2" t="s">
        <v>569</v>
      </c>
      <c r="D734" s="2" t="str">
        <f t="shared" si="10"/>
        <v>Error?</v>
      </c>
    </row>
    <row r="735" spans="1:4" x14ac:dyDescent="0.2">
      <c r="A735" s="5">
        <v>674</v>
      </c>
      <c r="B735" s="1825">
        <f>'Expenditures 15-22'!C55</f>
        <v>186402</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186402</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37500</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69027</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106527</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623890</v>
      </c>
      <c r="C755" s="2" t="s">
        <v>569</v>
      </c>
      <c r="D755" s="2" t="str">
        <f t="shared" si="10"/>
        <v>Error?</v>
      </c>
    </row>
    <row r="756" spans="1:4" x14ac:dyDescent="0.2">
      <c r="A756" s="5">
        <v>695</v>
      </c>
      <c r="B756" s="1825">
        <f>'Expenditures 15-22'!C75</f>
        <v>138845</v>
      </c>
      <c r="D756" s="2" t="str">
        <f t="shared" si="10"/>
        <v>Error?</v>
      </c>
    </row>
    <row r="757" spans="1:4" x14ac:dyDescent="0.2">
      <c r="A757" s="5">
        <v>696</v>
      </c>
      <c r="B757" s="1825">
        <f>'Expenditures 15-22'!C114</f>
        <v>2496778</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297660</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36386</v>
      </c>
      <c r="D775" s="2" t="str">
        <f t="shared" si="11"/>
        <v>Error?</v>
      </c>
    </row>
    <row r="776" spans="1:4" x14ac:dyDescent="0.2">
      <c r="A776" s="5">
        <v>715</v>
      </c>
      <c r="B776" s="1825">
        <f>'Expenditures 15-22'!D14</f>
        <v>297</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448537</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11607</v>
      </c>
      <c r="D780" s="2" t="str">
        <f t="shared" si="11"/>
        <v>Error?</v>
      </c>
    </row>
    <row r="781" spans="1:4" x14ac:dyDescent="0.2">
      <c r="A781" s="5">
        <v>720</v>
      </c>
      <c r="B781" s="1825">
        <f>'Expenditures 15-22'!D38</f>
        <v>4521</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18</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16146</v>
      </c>
      <c r="C785" s="2" t="s">
        <v>569</v>
      </c>
      <c r="D785" s="2" t="str">
        <f t="shared" si="11"/>
        <v>Error?</v>
      </c>
    </row>
    <row r="786" spans="1:4" x14ac:dyDescent="0.2">
      <c r="A786" s="5">
        <v>725</v>
      </c>
      <c r="B786" s="1825">
        <f>'Expenditures 15-22'!D44</f>
        <v>0</v>
      </c>
      <c r="D786" s="2" t="str">
        <f t="shared" si="11"/>
        <v>Error?</v>
      </c>
    </row>
    <row r="787" spans="1:4" x14ac:dyDescent="0.2">
      <c r="A787" s="5">
        <v>726</v>
      </c>
      <c r="B787" s="1825">
        <f>'Expenditures 15-22'!D45</f>
        <v>17308</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17308</v>
      </c>
      <c r="C789" s="2" t="s">
        <v>569</v>
      </c>
      <c r="D789" s="2" t="str">
        <f t="shared" si="11"/>
        <v>Error?</v>
      </c>
    </row>
    <row r="790" spans="1:4" x14ac:dyDescent="0.2">
      <c r="A790" s="5">
        <v>729</v>
      </c>
      <c r="B790" s="1825">
        <f>'Expenditures 15-22'!D49</f>
        <v>764</v>
      </c>
      <c r="D790" s="2" t="str">
        <f t="shared" si="11"/>
        <v>Error?</v>
      </c>
    </row>
    <row r="791" spans="1:4" x14ac:dyDescent="0.2">
      <c r="A791" s="5">
        <v>730</v>
      </c>
      <c r="B791" s="1825">
        <f>'Expenditures 15-22'!D50</f>
        <v>26104</v>
      </c>
      <c r="D791" s="2" t="str">
        <f t="shared" si="11"/>
        <v>Error?</v>
      </c>
    </row>
    <row r="792" spans="1:4" x14ac:dyDescent="0.2">
      <c r="A792" s="5">
        <v>731</v>
      </c>
      <c r="B792" s="1825">
        <f>'Expenditures 15-22'!D53</f>
        <v>27042</v>
      </c>
      <c r="C792" s="2" t="s">
        <v>569</v>
      </c>
      <c r="D792" s="2" t="str">
        <f t="shared" si="11"/>
        <v>Error?</v>
      </c>
    </row>
    <row r="793" spans="1:4" x14ac:dyDescent="0.2">
      <c r="A793" s="5">
        <v>732</v>
      </c>
      <c r="B793" s="1825">
        <f>'Expenditures 15-22'!D55</f>
        <v>66635</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66635</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14395</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12429</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26824</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153955</v>
      </c>
      <c r="C813" s="2" t="s">
        <v>569</v>
      </c>
      <c r="D813" s="2" t="str">
        <f t="shared" si="11"/>
        <v>Error?</v>
      </c>
    </row>
    <row r="814" spans="1:4" x14ac:dyDescent="0.2">
      <c r="A814" s="5">
        <v>753</v>
      </c>
      <c r="B814" s="1825">
        <f>'Expenditures 15-22'!D75</f>
        <v>7510</v>
      </c>
      <c r="D814" s="2" t="str">
        <f t="shared" si="11"/>
        <v>Error?</v>
      </c>
    </row>
    <row r="815" spans="1:4" x14ac:dyDescent="0.2">
      <c r="A815" s="5">
        <v>754</v>
      </c>
      <c r="B815" s="1825">
        <f>'Expenditures 15-22'!D114</f>
        <v>610002</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34369</v>
      </c>
      <c r="D821" s="2" t="str">
        <f t="shared" si="11"/>
        <v>Error?</v>
      </c>
    </row>
    <row r="822" spans="1:4" x14ac:dyDescent="0.2">
      <c r="A822" s="5">
        <v>761</v>
      </c>
      <c r="B822" s="1825">
        <f>'Expenditures 15-22'!E16</f>
        <v>1375</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4979</v>
      </c>
      <c r="D833" s="2" t="str">
        <f t="shared" si="12"/>
        <v>Error?</v>
      </c>
    </row>
    <row r="834" spans="1:4" x14ac:dyDescent="0.2">
      <c r="A834" s="5">
        <v>773</v>
      </c>
      <c r="B834" s="1825">
        <f>'Expenditures 15-22'!E14</f>
        <v>45181</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95838</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95</v>
      </c>
      <c r="D838" s="2" t="str">
        <f t="shared" si="12"/>
        <v>Error?</v>
      </c>
    </row>
    <row r="839" spans="1:4" x14ac:dyDescent="0.2">
      <c r="A839" s="5">
        <v>778</v>
      </c>
      <c r="B839" s="1825">
        <f>'Expenditures 15-22'!E38</f>
        <v>79</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25</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199</v>
      </c>
      <c r="C843" s="2" t="s">
        <v>569</v>
      </c>
      <c r="D843" s="2" t="str">
        <f t="shared" si="12"/>
        <v>Error?</v>
      </c>
    </row>
    <row r="844" spans="1:4" x14ac:dyDescent="0.2">
      <c r="A844" s="5">
        <v>783</v>
      </c>
      <c r="B844" s="1825">
        <f>'Expenditures 15-22'!E44</f>
        <v>36928</v>
      </c>
      <c r="D844" s="2" t="str">
        <f t="shared" si="12"/>
        <v>Error?</v>
      </c>
    </row>
    <row r="845" spans="1:4" x14ac:dyDescent="0.2">
      <c r="A845" s="5">
        <v>784</v>
      </c>
      <c r="B845" s="1825">
        <f>'Expenditures 15-22'!E45</f>
        <v>21848</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58776</v>
      </c>
      <c r="C847" s="2" t="s">
        <v>569</v>
      </c>
      <c r="D847" s="2" t="str">
        <f t="shared" si="12"/>
        <v>Error?</v>
      </c>
    </row>
    <row r="848" spans="1:4" x14ac:dyDescent="0.2">
      <c r="A848" s="5">
        <v>787</v>
      </c>
      <c r="B848" s="1825">
        <f>'Expenditures 15-22'!E49</f>
        <v>22343</v>
      </c>
      <c r="D848" s="2" t="str">
        <f t="shared" si="12"/>
        <v>Error?</v>
      </c>
    </row>
    <row r="849" spans="1:4" x14ac:dyDescent="0.2">
      <c r="A849" s="5">
        <v>788</v>
      </c>
      <c r="B849" s="1825">
        <f>'Expenditures 15-22'!E50</f>
        <v>83</v>
      </c>
      <c r="D849" s="2" t="str">
        <f t="shared" si="12"/>
        <v>Error?</v>
      </c>
    </row>
    <row r="850" spans="1:4" x14ac:dyDescent="0.2">
      <c r="A850" s="5">
        <v>789</v>
      </c>
      <c r="B850" s="1825">
        <f>'Expenditures 15-22'!E53</f>
        <v>24426</v>
      </c>
      <c r="C850" s="2" t="s">
        <v>569</v>
      </c>
      <c r="D850" s="2" t="str">
        <f t="shared" si="12"/>
        <v>Error?</v>
      </c>
    </row>
    <row r="851" spans="1:4" x14ac:dyDescent="0.2">
      <c r="A851" s="5">
        <v>790</v>
      </c>
      <c r="B851" s="1825">
        <f>'Expenditures 15-22'!E55</f>
        <v>597</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597</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0</v>
      </c>
      <c r="D855" s="2" t="str">
        <f t="shared" si="12"/>
        <v>Error?</v>
      </c>
    </row>
    <row r="856" spans="1:4" x14ac:dyDescent="0.2">
      <c r="A856" s="5">
        <v>795</v>
      </c>
      <c r="B856" s="1825">
        <f>'Expenditures 15-22'!E61</f>
        <v>35426</v>
      </c>
      <c r="D856" s="2" t="str">
        <f t="shared" si="12"/>
        <v>Error?</v>
      </c>
    </row>
    <row r="857" spans="1:4" x14ac:dyDescent="0.2">
      <c r="A857" s="5">
        <v>796</v>
      </c>
      <c r="B857" s="1825">
        <f>'Expenditures 15-22'!E62</f>
        <v>126</v>
      </c>
      <c r="D857" s="2" t="str">
        <f t="shared" si="12"/>
        <v>Error?</v>
      </c>
    </row>
    <row r="858" spans="1:4" x14ac:dyDescent="0.2">
      <c r="A858" s="5">
        <v>797</v>
      </c>
      <c r="B858" s="1825">
        <f>'Expenditures 15-22'!E63</f>
        <v>1234</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36786</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120784</v>
      </c>
      <c r="C871" s="2" t="s">
        <v>569</v>
      </c>
      <c r="D871" s="2" t="str">
        <f t="shared" si="12"/>
        <v>Error?</v>
      </c>
    </row>
    <row r="872" spans="1:4" x14ac:dyDescent="0.2">
      <c r="A872" s="5">
        <v>811</v>
      </c>
      <c r="B872" s="1825">
        <f>'Expenditures 15-22'!E75</f>
        <v>13546</v>
      </c>
      <c r="D872" s="2" t="str">
        <f t="shared" si="12"/>
        <v>Error?</v>
      </c>
    </row>
    <row r="873" spans="1:4" x14ac:dyDescent="0.2">
      <c r="A873" s="5">
        <v>812</v>
      </c>
      <c r="B873" s="1825">
        <f>'Expenditures 15-22'!E114</f>
        <v>251574</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37751</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10297</v>
      </c>
      <c r="D891" s="2" t="str">
        <f t="shared" si="12"/>
        <v>Error?</v>
      </c>
    </row>
    <row r="892" spans="1:4" x14ac:dyDescent="0.2">
      <c r="A892" s="5">
        <v>831</v>
      </c>
      <c r="B892" s="1825">
        <f>'Expenditures 15-22'!F14</f>
        <v>5609</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69694</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311</v>
      </c>
      <c r="D896" s="2" t="str">
        <f t="shared" si="13"/>
        <v>Error?</v>
      </c>
    </row>
    <row r="897" spans="1:4" x14ac:dyDescent="0.2">
      <c r="A897" s="5">
        <v>836</v>
      </c>
      <c r="B897" s="1825">
        <f>'Expenditures 15-22'!F38</f>
        <v>945</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170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1426</v>
      </c>
      <c r="C901" s="2" t="s">
        <v>569</v>
      </c>
      <c r="D901" s="2" t="str">
        <f t="shared" si="13"/>
        <v>Error?</v>
      </c>
    </row>
    <row r="902" spans="1:4" x14ac:dyDescent="0.2">
      <c r="A902" s="5">
        <v>841</v>
      </c>
      <c r="B902" s="1825">
        <f>'Expenditures 15-22'!F44</f>
        <v>1600</v>
      </c>
      <c r="D902" s="2" t="str">
        <f t="shared" si="13"/>
        <v>Error?</v>
      </c>
    </row>
    <row r="903" spans="1:4" x14ac:dyDescent="0.2">
      <c r="A903" s="5">
        <v>842</v>
      </c>
      <c r="B903" s="1825">
        <f>'Expenditures 15-22'!F45</f>
        <v>11855</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13455</v>
      </c>
      <c r="C905" s="2" t="s">
        <v>569</v>
      </c>
      <c r="D905" s="2" t="str">
        <f t="shared" si="13"/>
        <v>Error?</v>
      </c>
    </row>
    <row r="906" spans="1:4" x14ac:dyDescent="0.2">
      <c r="A906" s="5">
        <v>845</v>
      </c>
      <c r="B906" s="1825">
        <f>'Expenditures 15-22'!F49</f>
        <v>5062</v>
      </c>
      <c r="D906" s="2" t="str">
        <f t="shared" si="13"/>
        <v>Error?</v>
      </c>
    </row>
    <row r="907" spans="1:4" x14ac:dyDescent="0.2">
      <c r="A907" s="5">
        <v>846</v>
      </c>
      <c r="B907" s="1825">
        <f>'Expenditures 15-22'!F50</f>
        <v>94</v>
      </c>
      <c r="D907" s="2" t="str">
        <f t="shared" si="13"/>
        <v>Error?</v>
      </c>
    </row>
    <row r="908" spans="1:4" x14ac:dyDescent="0.2">
      <c r="A908" s="5">
        <v>847</v>
      </c>
      <c r="B908" s="1825">
        <f>'Expenditures 15-22'!F53</f>
        <v>8137</v>
      </c>
      <c r="C908" s="2" t="s">
        <v>569</v>
      </c>
      <c r="D908" s="2" t="str">
        <f t="shared" si="13"/>
        <v>Error?</v>
      </c>
    </row>
    <row r="909" spans="1:4" x14ac:dyDescent="0.2">
      <c r="A909" s="5">
        <v>848</v>
      </c>
      <c r="B909" s="1825">
        <f>'Expenditures 15-22'!F55</f>
        <v>595</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595</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573</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115616</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116189</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139802</v>
      </c>
      <c r="C929" s="2" t="s">
        <v>569</v>
      </c>
      <c r="D929" s="2" t="str">
        <f t="shared" si="13"/>
        <v>Error?</v>
      </c>
    </row>
    <row r="930" spans="1:4" x14ac:dyDescent="0.2">
      <c r="A930" s="5">
        <v>869</v>
      </c>
      <c r="B930" s="1825">
        <f>'Expenditures 15-22'!F75</f>
        <v>21519</v>
      </c>
      <c r="D930" s="2" t="str">
        <f t="shared" si="13"/>
        <v>Error?</v>
      </c>
    </row>
    <row r="931" spans="1:4" x14ac:dyDescent="0.2">
      <c r="A931" s="5">
        <v>870</v>
      </c>
      <c r="B931" s="1825">
        <f>'Expenditures 15-22'!F114</f>
        <v>231015</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694</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9551</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35421</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35421</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7300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7300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42721</v>
      </c>
      <c r="C987" s="2" t="s">
        <v>569</v>
      </c>
      <c r="D987" s="2" t="str">
        <f t="shared" si="14"/>
        <v>Error?</v>
      </c>
    </row>
    <row r="988" spans="1:4" x14ac:dyDescent="0.2">
      <c r="A988" s="5">
        <v>927</v>
      </c>
      <c r="B988" s="1825">
        <f>'Expenditures 15-22'!G75</f>
        <v>7562</v>
      </c>
      <c r="D988" s="2" t="str">
        <f t="shared" si="14"/>
        <v>Error?</v>
      </c>
    </row>
    <row r="989" spans="1:4" x14ac:dyDescent="0.2">
      <c r="A989" s="5">
        <v>928</v>
      </c>
      <c r="B989" s="1825">
        <f>'Expenditures 15-22'!G114</f>
        <v>59834</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385</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89869</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1620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1620</v>
      </c>
      <c r="C1021" s="2" t="s">
        <v>569</v>
      </c>
      <c r="D1021" s="2" t="str">
        <f t="shared" si="14"/>
        <v>Error?</v>
      </c>
    </row>
    <row r="1022" spans="1:4" x14ac:dyDescent="0.2">
      <c r="A1022" s="5">
        <v>961</v>
      </c>
      <c r="B1022" s="1825">
        <f>'Expenditures 15-22'!H49</f>
        <v>2367</v>
      </c>
      <c r="D1022" s="2" t="str">
        <f t="shared" si="14"/>
        <v>Error?</v>
      </c>
    </row>
    <row r="1023" spans="1:4" x14ac:dyDescent="0.2">
      <c r="A1023" s="5">
        <v>962</v>
      </c>
      <c r="B1023" s="1825">
        <f>'Expenditures 15-22'!H50</f>
        <v>1152</v>
      </c>
      <c r="D1023" s="2" t="str">
        <f t="shared" ref="D1023:D1086" si="15">IF(ISBLANK(B1023),"OK",IF(A1023-B1023=0,"OK","Error?"))</f>
        <v>Error?</v>
      </c>
    </row>
    <row r="1024" spans="1:4" x14ac:dyDescent="0.2">
      <c r="A1024" s="5">
        <v>963</v>
      </c>
      <c r="B1024" s="1825">
        <f>'Expenditures 15-22'!H53</f>
        <v>3519</v>
      </c>
      <c r="C1024" s="2" t="s">
        <v>569</v>
      </c>
      <c r="D1024" s="2" t="str">
        <f t="shared" si="15"/>
        <v>Error?</v>
      </c>
    </row>
    <row r="1025" spans="1:4" x14ac:dyDescent="0.2">
      <c r="A1025" s="5">
        <v>964</v>
      </c>
      <c r="B1025" s="1825">
        <f>'Expenditures 15-22'!H55</f>
        <v>608</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608</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6589</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5406</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11995</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17742</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71496</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179107</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1494858</v>
      </c>
      <c r="C1093" s="2" t="s">
        <v>569</v>
      </c>
      <c r="D1093" s="2" t="str">
        <f t="shared" si="16"/>
        <v>Error?</v>
      </c>
    </row>
    <row r="1094" spans="1:4" x14ac:dyDescent="0.2">
      <c r="A1094" s="5">
        <v>1033</v>
      </c>
      <c r="B1094" s="1825">
        <f>'Expenditures 15-22'!K16</f>
        <v>2381</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180231</v>
      </c>
      <c r="C1105" s="2" t="s">
        <v>569</v>
      </c>
      <c r="D1105" s="2" t="str">
        <f t="shared" si="16"/>
        <v>Error?</v>
      </c>
    </row>
    <row r="1106" spans="1:4" x14ac:dyDescent="0.2">
      <c r="A1106" s="5">
        <v>1045</v>
      </c>
      <c r="B1106" s="1825">
        <f>'Expenditures 15-22'!K14</f>
        <v>71559</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2447532</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52347</v>
      </c>
      <c r="C1110" s="2" t="s">
        <v>569</v>
      </c>
      <c r="D1110" s="2" t="str">
        <f t="shared" si="16"/>
        <v>Error?</v>
      </c>
    </row>
    <row r="1111" spans="1:4" x14ac:dyDescent="0.2">
      <c r="A1111" s="5">
        <v>1050</v>
      </c>
      <c r="B1111" s="1825">
        <f>'Expenditures 15-22'!K38</f>
        <v>52606</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56429</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161382</v>
      </c>
      <c r="C1115" s="2" t="s">
        <v>569</v>
      </c>
      <c r="D1115" s="2" t="str">
        <f t="shared" si="16"/>
        <v>Error?</v>
      </c>
    </row>
    <row r="1116" spans="1:4" x14ac:dyDescent="0.2">
      <c r="A1116" s="5">
        <v>1055</v>
      </c>
      <c r="B1116" s="1825">
        <f>'Expenditures 15-22'!K44</f>
        <v>41901</v>
      </c>
      <c r="C1116" s="2" t="s">
        <v>569</v>
      </c>
      <c r="D1116" s="2" t="str">
        <f t="shared" si="16"/>
        <v>Error?</v>
      </c>
    </row>
    <row r="1117" spans="1:4" x14ac:dyDescent="0.2">
      <c r="A1117" s="5">
        <v>1056</v>
      </c>
      <c r="B1117" s="1825">
        <f>'Expenditures 15-22'!K45</f>
        <v>162112</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204013</v>
      </c>
      <c r="C1119" s="2" t="s">
        <v>569</v>
      </c>
      <c r="D1119" s="2" t="str">
        <f t="shared" si="16"/>
        <v>Error?</v>
      </c>
    </row>
    <row r="1120" spans="1:4" x14ac:dyDescent="0.2">
      <c r="A1120" s="5">
        <v>1059</v>
      </c>
      <c r="B1120" s="1825">
        <f>'Expenditures 15-22'!K49</f>
        <v>33949</v>
      </c>
      <c r="C1120" s="2" t="s">
        <v>569</v>
      </c>
      <c r="D1120" s="2" t="str">
        <f t="shared" si="16"/>
        <v>Error?</v>
      </c>
    </row>
    <row r="1121" spans="1:4" x14ac:dyDescent="0.2">
      <c r="A1121" s="5">
        <v>1060</v>
      </c>
      <c r="B1121" s="1825">
        <f>'Expenditures 15-22'!K50</f>
        <v>132437</v>
      </c>
      <c r="C1121" s="2" t="s">
        <v>569</v>
      </c>
      <c r="D1121" s="2" t="str">
        <f t="shared" si="16"/>
        <v>Error?</v>
      </c>
    </row>
    <row r="1122" spans="1:4" x14ac:dyDescent="0.2">
      <c r="A1122" s="5">
        <v>1061</v>
      </c>
      <c r="B1122" s="1825">
        <f>'Expenditures 15-22'!K53</f>
        <v>173041</v>
      </c>
      <c r="C1122" s="2" t="s">
        <v>569</v>
      </c>
      <c r="D1122" s="2" t="str">
        <f t="shared" si="16"/>
        <v>Error?</v>
      </c>
    </row>
    <row r="1123" spans="1:4" x14ac:dyDescent="0.2">
      <c r="A1123" s="5">
        <v>1062</v>
      </c>
      <c r="B1123" s="1825">
        <f>'Expenditures 15-22'!K55</f>
        <v>254837</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254837</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59057</v>
      </c>
      <c r="C1127" s="2" t="s">
        <v>569</v>
      </c>
      <c r="D1127" s="2" t="str">
        <f t="shared" si="16"/>
        <v>Error?</v>
      </c>
    </row>
    <row r="1128" spans="1:4" x14ac:dyDescent="0.2">
      <c r="A1128" s="5">
        <v>1067</v>
      </c>
      <c r="B1128" s="1825">
        <f>'Expenditures 15-22'!K61</f>
        <v>42726</v>
      </c>
      <c r="C1128" s="2" t="s">
        <v>569</v>
      </c>
      <c r="D1128" s="2" t="str">
        <f t="shared" si="16"/>
        <v>Error?</v>
      </c>
    </row>
    <row r="1129" spans="1:4" x14ac:dyDescent="0.2">
      <c r="A1129" s="5">
        <v>1068</v>
      </c>
      <c r="B1129" s="1825">
        <f>'Expenditures 15-22'!K62</f>
        <v>126</v>
      </c>
      <c r="C1129" s="2" t="s">
        <v>569</v>
      </c>
      <c r="D1129" s="2" t="str">
        <f t="shared" si="16"/>
        <v>Error?</v>
      </c>
    </row>
    <row r="1130" spans="1:4" x14ac:dyDescent="0.2">
      <c r="A1130" s="5">
        <v>1069</v>
      </c>
      <c r="B1130" s="1825">
        <f>'Expenditures 15-22'!K63</f>
        <v>203712</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305621</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1098894</v>
      </c>
      <c r="C1143" s="2" t="s">
        <v>569</v>
      </c>
      <c r="D1143" s="2" t="str">
        <f t="shared" si="16"/>
        <v>Error?</v>
      </c>
    </row>
    <row r="1144" spans="1:4" x14ac:dyDescent="0.2">
      <c r="A1144" s="5">
        <v>1083</v>
      </c>
      <c r="B1144" s="1825">
        <f>'Expenditures 15-22'!K75</f>
        <v>188982</v>
      </c>
      <c r="C1144" s="2" t="s">
        <v>569</v>
      </c>
      <c r="D1144" s="2" t="str">
        <f t="shared" si="16"/>
        <v>Error?</v>
      </c>
    </row>
    <row r="1145" spans="1:4" x14ac:dyDescent="0.2">
      <c r="A1145" s="5">
        <v>1084</v>
      </c>
      <c r="B1145" s="1825">
        <f>'Expenditures 15-22'!K102</f>
        <v>92902</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3828310</v>
      </c>
      <c r="C1152" s="2" t="s">
        <v>569</v>
      </c>
      <c r="D1152" s="2" t="str">
        <f t="shared" si="17"/>
        <v>Error?</v>
      </c>
    </row>
    <row r="1153" spans="1:4" x14ac:dyDescent="0.2">
      <c r="A1153" s="5">
        <v>1092</v>
      </c>
      <c r="B1153" s="1825">
        <f>'Expenditures 15-22'!K115</f>
        <v>22360</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106857</v>
      </c>
      <c r="D1221" s="2" t="str">
        <f t="shared" si="18"/>
        <v>Error?</v>
      </c>
    </row>
    <row r="1222" spans="1:4" x14ac:dyDescent="0.2">
      <c r="A1222" s="10">
        <v>1161</v>
      </c>
      <c r="B1222" s="1825"/>
      <c r="D1222" s="2" t="str">
        <f t="shared" si="18"/>
        <v>OK</v>
      </c>
    </row>
    <row r="1223" spans="1:4" x14ac:dyDescent="0.2">
      <c r="A1223" s="5">
        <v>1162</v>
      </c>
      <c r="B1223" s="1825">
        <f>'Expenditures 15-22'!C127</f>
        <v>106857</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106857</v>
      </c>
      <c r="C1225" s="2" t="s">
        <v>569</v>
      </c>
      <c r="D1225" s="2" t="str">
        <f t="shared" si="18"/>
        <v>Error?</v>
      </c>
    </row>
    <row r="1226" spans="1:4" x14ac:dyDescent="0.2">
      <c r="A1226" s="5">
        <v>1165</v>
      </c>
      <c r="B1226" s="1825">
        <f>'Expenditures 15-22'!C151</f>
        <v>106857</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23243</v>
      </c>
      <c r="D1229" s="2" t="str">
        <f t="shared" si="18"/>
        <v>Error?</v>
      </c>
    </row>
    <row r="1230" spans="1:4" x14ac:dyDescent="0.2">
      <c r="A1230" s="10">
        <v>1169</v>
      </c>
      <c r="B1230" s="1825"/>
      <c r="D1230" s="2" t="str">
        <f t="shared" si="18"/>
        <v>OK</v>
      </c>
    </row>
    <row r="1231" spans="1:4" x14ac:dyDescent="0.2">
      <c r="A1231" s="5">
        <v>1170</v>
      </c>
      <c r="B1231" s="1825">
        <f>'Expenditures 15-22'!D127</f>
        <v>23243</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23243</v>
      </c>
      <c r="C1233" s="2" t="s">
        <v>569</v>
      </c>
      <c r="D1233" s="2" t="str">
        <f t="shared" si="18"/>
        <v>Error?</v>
      </c>
    </row>
    <row r="1234" spans="1:4" x14ac:dyDescent="0.2">
      <c r="A1234" s="5">
        <v>1173</v>
      </c>
      <c r="B1234" s="1825">
        <f>'Expenditures 15-22'!D151</f>
        <v>23243</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22181</v>
      </c>
      <c r="D1237" s="2" t="str">
        <f t="shared" si="18"/>
        <v>Error?</v>
      </c>
    </row>
    <row r="1238" spans="1:4" x14ac:dyDescent="0.2">
      <c r="A1238" s="10">
        <v>1177</v>
      </c>
      <c r="B1238" s="1825"/>
      <c r="D1238" s="2" t="str">
        <f t="shared" si="18"/>
        <v>OK</v>
      </c>
    </row>
    <row r="1239" spans="1:4" x14ac:dyDescent="0.2">
      <c r="A1239" s="5">
        <v>1178</v>
      </c>
      <c r="B1239" s="1825">
        <f>'Expenditures 15-22'!E127</f>
        <v>22181</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22181</v>
      </c>
      <c r="C1241" s="2" t="s">
        <v>569</v>
      </c>
      <c r="D1241" s="2" t="str">
        <f t="shared" si="18"/>
        <v>Error?</v>
      </c>
    </row>
    <row r="1242" spans="1:4" x14ac:dyDescent="0.2">
      <c r="A1242" s="5">
        <v>1181</v>
      </c>
      <c r="B1242" s="1825">
        <f>'Expenditures 15-22'!E151</f>
        <v>22181</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84765</v>
      </c>
      <c r="D1245" s="2" t="str">
        <f t="shared" si="18"/>
        <v>Error?</v>
      </c>
    </row>
    <row r="1246" spans="1:4" x14ac:dyDescent="0.2">
      <c r="A1246" s="10">
        <v>1185</v>
      </c>
      <c r="B1246" s="1825"/>
      <c r="D1246" s="2" t="str">
        <f t="shared" si="18"/>
        <v>OK</v>
      </c>
    </row>
    <row r="1247" spans="1:4" x14ac:dyDescent="0.2">
      <c r="A1247" s="5">
        <v>1186</v>
      </c>
      <c r="B1247" s="1825">
        <f>'Expenditures 15-22'!F127</f>
        <v>84765</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84765</v>
      </c>
      <c r="C1249" s="2" t="s">
        <v>569</v>
      </c>
      <c r="D1249" s="2" t="str">
        <f t="shared" si="18"/>
        <v>Error?</v>
      </c>
    </row>
    <row r="1250" spans="1:4" x14ac:dyDescent="0.2">
      <c r="A1250" s="5">
        <v>1189</v>
      </c>
      <c r="B1250" s="1825">
        <f>'Expenditures 15-22'!F151</f>
        <v>84765</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41148</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41148</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41148</v>
      </c>
      <c r="C1258" s="2" t="s">
        <v>569</v>
      </c>
      <c r="D1258" s="2" t="str">
        <f t="shared" si="18"/>
        <v>Error?</v>
      </c>
    </row>
    <row r="1259" spans="1:4" x14ac:dyDescent="0.2">
      <c r="A1259" s="5">
        <v>1198</v>
      </c>
      <c r="B1259" s="1825">
        <f>'Expenditures 15-22'!G151</f>
        <v>41148</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278194</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278194</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278194</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278194</v>
      </c>
      <c r="C1288" s="2" t="s">
        <v>569</v>
      </c>
      <c r="D1288" s="2" t="str">
        <f t="shared" si="19"/>
        <v>Error?</v>
      </c>
    </row>
    <row r="1289" spans="1:4" x14ac:dyDescent="0.2">
      <c r="A1289" s="5">
        <v>1228</v>
      </c>
      <c r="B1289" s="1825">
        <f>'Expenditures 15-22'!K152</f>
        <v>15139</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13712</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95000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108712</v>
      </c>
      <c r="C1317" s="2" t="s">
        <v>569</v>
      </c>
      <c r="D1317" s="2" t="str">
        <f t="shared" si="19"/>
        <v>Error?</v>
      </c>
    </row>
    <row r="1318" spans="1:4" x14ac:dyDescent="0.2">
      <c r="A1318" s="5">
        <v>1257</v>
      </c>
      <c r="B1318" s="1825">
        <f>'Expenditures 15-22'!H174</f>
        <v>108712</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13712</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95000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108712</v>
      </c>
      <c r="C1331" s="2" t="s">
        <v>569</v>
      </c>
      <c r="D1331" s="2" t="str">
        <f t="shared" si="19"/>
        <v>Error?</v>
      </c>
    </row>
    <row r="1332" spans="1:4" x14ac:dyDescent="0.2">
      <c r="A1332" s="5">
        <v>1271</v>
      </c>
      <c r="B1332" s="1825">
        <f>'Expenditures 15-22'!K174</f>
        <v>108712</v>
      </c>
      <c r="C1332" s="2" t="s">
        <v>569</v>
      </c>
      <c r="D1332" s="2" t="str">
        <f t="shared" si="19"/>
        <v>Error?</v>
      </c>
    </row>
    <row r="1333" spans="1:4" x14ac:dyDescent="0.2">
      <c r="A1333" s="5">
        <v>1272</v>
      </c>
      <c r="B1333" s="1825">
        <f>'Expenditures 15-22'!K175</f>
        <v>-75</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191364</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191364</v>
      </c>
      <c r="C1339" s="2" t="s">
        <v>569</v>
      </c>
      <c r="D1339" s="2" t="str">
        <f t="shared" si="19"/>
        <v>Error?</v>
      </c>
    </row>
    <row r="1340" spans="1:4" x14ac:dyDescent="0.2">
      <c r="A1340" s="5">
        <v>1279</v>
      </c>
      <c r="B1340" s="1825">
        <f>'Expenditures 15-22'!C210</f>
        <v>191364</v>
      </c>
      <c r="C1340" s="2" t="s">
        <v>569</v>
      </c>
      <c r="D1340" s="2" t="str">
        <f t="shared" si="19"/>
        <v>Error?</v>
      </c>
    </row>
    <row r="1341" spans="1:4" x14ac:dyDescent="0.2">
      <c r="A1341" s="5">
        <v>1280</v>
      </c>
      <c r="B1341" s="1825">
        <f>'Expenditures 15-22'!D182</f>
        <v>34704</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34704</v>
      </c>
      <c r="C1345" s="2" t="s">
        <v>569</v>
      </c>
      <c r="D1345" s="2" t="str">
        <f t="shared" si="20"/>
        <v>Error?</v>
      </c>
    </row>
    <row r="1346" spans="1:4" x14ac:dyDescent="0.2">
      <c r="A1346" s="5">
        <v>1285</v>
      </c>
      <c r="B1346" s="1825">
        <f>'Expenditures 15-22'!D210</f>
        <v>34704</v>
      </c>
      <c r="C1346" s="2" t="s">
        <v>569</v>
      </c>
      <c r="D1346" s="2" t="str">
        <f t="shared" si="20"/>
        <v>Error?</v>
      </c>
    </row>
    <row r="1347" spans="1:4" x14ac:dyDescent="0.2">
      <c r="A1347" s="5">
        <v>1286</v>
      </c>
      <c r="B1347" s="1825">
        <f>'Expenditures 15-22'!E182</f>
        <v>29672</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29672</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29672</v>
      </c>
      <c r="C1353" s="2" t="s">
        <v>569</v>
      </c>
      <c r="D1353" s="2" t="str">
        <f t="shared" si="20"/>
        <v>Error?</v>
      </c>
    </row>
    <row r="1354" spans="1:4" x14ac:dyDescent="0.2">
      <c r="A1354" s="5">
        <v>1293</v>
      </c>
      <c r="B1354" s="1825">
        <f>'Expenditures 15-22'!F182</f>
        <v>41896</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41896</v>
      </c>
      <c r="C1358" s="2" t="s">
        <v>569</v>
      </c>
      <c r="D1358" s="2" t="str">
        <f t="shared" si="20"/>
        <v>Error?</v>
      </c>
    </row>
    <row r="1359" spans="1:4" x14ac:dyDescent="0.2">
      <c r="A1359" s="5">
        <v>1298</v>
      </c>
      <c r="B1359" s="1825">
        <f>'Expenditures 15-22'!F210</f>
        <v>41896</v>
      </c>
      <c r="C1359" s="2" t="s">
        <v>569</v>
      </c>
      <c r="D1359" s="2" t="str">
        <f t="shared" si="20"/>
        <v>Error?</v>
      </c>
    </row>
    <row r="1360" spans="1:4" x14ac:dyDescent="0.2">
      <c r="A1360" s="5">
        <v>1299</v>
      </c>
      <c r="B1360" s="1825">
        <f>'Expenditures 15-22'!G182</f>
        <v>63682</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63682</v>
      </c>
      <c r="C1364" s="2" t="s">
        <v>569</v>
      </c>
      <c r="D1364" s="2" t="str">
        <f t="shared" si="20"/>
        <v>Error?</v>
      </c>
    </row>
    <row r="1365" spans="1:4" x14ac:dyDescent="0.2">
      <c r="A1365" s="5">
        <v>1304</v>
      </c>
      <c r="B1365" s="1825">
        <f>'Expenditures 15-22'!G210</f>
        <v>63682</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36888</v>
      </c>
      <c r="C1375" s="2" t="s">
        <v>569</v>
      </c>
      <c r="D1375" s="2" t="str">
        <f t="shared" si="20"/>
        <v>Error?</v>
      </c>
    </row>
    <row r="1376" spans="1:4" x14ac:dyDescent="0.2">
      <c r="A1376" s="5">
        <v>1315</v>
      </c>
      <c r="B1376" s="1825">
        <f>'Expenditures 15-22'!H210</f>
        <v>36888</v>
      </c>
      <c r="C1376" s="2" t="s">
        <v>569</v>
      </c>
      <c r="D1376" s="2" t="str">
        <f t="shared" si="20"/>
        <v>Error?</v>
      </c>
    </row>
    <row r="1377" spans="1:4" x14ac:dyDescent="0.2">
      <c r="A1377" s="5">
        <v>1316</v>
      </c>
      <c r="B1377" s="1825">
        <f>'Expenditures 15-22'!K182</f>
        <v>361318</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361318</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36888</v>
      </c>
      <c r="C1387" s="2" t="s">
        <v>569</v>
      </c>
      <c r="D1387" s="2" t="str">
        <f t="shared" si="20"/>
        <v>Error?</v>
      </c>
    </row>
    <row r="1388" spans="1:4" x14ac:dyDescent="0.2">
      <c r="A1388" s="5">
        <v>1327</v>
      </c>
      <c r="B1388" s="1825">
        <f>'Expenditures 15-22'!K210</f>
        <v>398206</v>
      </c>
      <c r="C1388" s="2" t="s">
        <v>569</v>
      </c>
      <c r="D1388" s="2" t="str">
        <f t="shared" si="20"/>
        <v>Error?</v>
      </c>
    </row>
    <row r="1389" spans="1:4" x14ac:dyDescent="0.2">
      <c r="A1389" s="5">
        <v>1328</v>
      </c>
      <c r="B1389" s="1825">
        <f>'Expenditures 15-22'!K211</f>
        <v>-10080</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88</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1842</v>
      </c>
      <c r="D1407" s="2" t="str">
        <f t="shared" ref="D1407:D1470" si="21">IF(ISBLANK(B1407),"OK",IF(A1407-B1407=0,"OK","Error?"))</f>
        <v>Error?</v>
      </c>
    </row>
    <row r="1408" spans="1:4" x14ac:dyDescent="0.2">
      <c r="A1408" s="5">
        <v>1347</v>
      </c>
      <c r="B1408" s="1825">
        <f>'Expenditures 15-22'!D223</f>
        <v>685</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55310</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585</v>
      </c>
      <c r="D1412" s="2" t="str">
        <f t="shared" si="21"/>
        <v>Error?</v>
      </c>
    </row>
    <row r="1413" spans="1:4" x14ac:dyDescent="0.2">
      <c r="A1413" s="5">
        <v>1352</v>
      </c>
      <c r="B1413" s="1825">
        <f>'Expenditures 15-22'!D234</f>
        <v>711</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815</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2111</v>
      </c>
      <c r="C1417" s="2" t="s">
        <v>569</v>
      </c>
      <c r="D1417" s="2" t="str">
        <f t="shared" si="21"/>
        <v>Error?</v>
      </c>
    </row>
    <row r="1418" spans="1:4" x14ac:dyDescent="0.2">
      <c r="A1418" s="5">
        <v>1357</v>
      </c>
      <c r="B1418" s="1825">
        <f>'Expenditures 15-22'!D240</f>
        <v>18</v>
      </c>
      <c r="D1418" s="2" t="str">
        <f t="shared" si="21"/>
        <v>Error?</v>
      </c>
    </row>
    <row r="1419" spans="1:4" x14ac:dyDescent="0.2">
      <c r="A1419" s="5">
        <v>1358</v>
      </c>
      <c r="B1419" s="1825">
        <f>'Expenditures 15-22'!D241</f>
        <v>7133</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7151</v>
      </c>
      <c r="C1421" s="2" t="s">
        <v>569</v>
      </c>
      <c r="D1421" s="2" t="str">
        <f t="shared" si="21"/>
        <v>Error?</v>
      </c>
    </row>
    <row r="1422" spans="1:4" x14ac:dyDescent="0.2">
      <c r="A1422" s="5">
        <v>1361</v>
      </c>
      <c r="B1422" s="1825">
        <f>'Expenditures 15-22'!D245</f>
        <v>626</v>
      </c>
      <c r="D1422" s="2" t="str">
        <f t="shared" si="21"/>
        <v>Error?</v>
      </c>
    </row>
    <row r="1423" spans="1:4" x14ac:dyDescent="0.2">
      <c r="A1423" s="5">
        <v>1362</v>
      </c>
      <c r="B1423" s="1825">
        <f>'Expenditures 15-22'!D246</f>
        <v>7338</v>
      </c>
      <c r="D1423" s="2" t="str">
        <f t="shared" si="21"/>
        <v>Error?</v>
      </c>
    </row>
    <row r="1424" spans="1:4" x14ac:dyDescent="0.2">
      <c r="A1424" s="5">
        <v>1363</v>
      </c>
      <c r="B1424" s="1825">
        <f>'Expenditures 15-22'!D257</f>
        <v>7964</v>
      </c>
      <c r="C1424" s="2" t="s">
        <v>569</v>
      </c>
      <c r="D1424" s="2" t="str">
        <f t="shared" si="21"/>
        <v>Error?</v>
      </c>
    </row>
    <row r="1425" spans="1:4" x14ac:dyDescent="0.2">
      <c r="A1425" s="5">
        <v>1364</v>
      </c>
      <c r="B1425" s="1825">
        <f>'Expenditures 15-22'!D259</f>
        <v>10398</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10398</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6634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17438</v>
      </c>
      <c r="D1431" s="2" t="str">
        <f t="shared" si="21"/>
        <v>Error?</v>
      </c>
    </row>
    <row r="1432" spans="1:4" x14ac:dyDescent="0.2">
      <c r="A1432" s="5">
        <v>1371</v>
      </c>
      <c r="B1432" s="1825">
        <f>'Expenditures 15-22'!D267</f>
        <v>26926</v>
      </c>
      <c r="D1432" s="2" t="str">
        <f t="shared" si="21"/>
        <v>Error?</v>
      </c>
    </row>
    <row r="1433" spans="1:4" x14ac:dyDescent="0.2">
      <c r="A1433" s="5">
        <v>1372</v>
      </c>
      <c r="B1433" s="1825">
        <f>'Expenditures 15-22'!D268</f>
        <v>12213</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63211</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90835</v>
      </c>
      <c r="C1446" s="2" t="s">
        <v>569</v>
      </c>
      <c r="D1446" s="2" t="str">
        <f t="shared" si="21"/>
        <v>Error?</v>
      </c>
    </row>
    <row r="1447" spans="1:4" x14ac:dyDescent="0.2">
      <c r="A1447" s="5">
        <v>1386</v>
      </c>
      <c r="B1447" s="1825">
        <f>'Expenditures 15-22'!D280</f>
        <v>24560</v>
      </c>
      <c r="D1447" s="2" t="str">
        <f t="shared" si="21"/>
        <v>Error?</v>
      </c>
    </row>
    <row r="1448" spans="1:4" x14ac:dyDescent="0.2">
      <c r="A1448" s="5">
        <v>1387</v>
      </c>
      <c r="B1448" s="1825">
        <f>'Expenditures 15-22'!D295</f>
        <v>170705</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88</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1842</v>
      </c>
      <c r="C1471" s="2" t="s">
        <v>569</v>
      </c>
      <c r="D1471" s="2" t="str">
        <f t="shared" ref="D1471:D1534" si="22">IF(ISBLANK(B1471),"OK",IF(A1471-B1471=0,"OK","Error?"))</f>
        <v>Error?</v>
      </c>
    </row>
    <row r="1472" spans="1:4" x14ac:dyDescent="0.2">
      <c r="A1472" s="5">
        <v>1411</v>
      </c>
      <c r="B1472" s="1825">
        <f>'Expenditures 15-22'!K223</f>
        <v>685</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55310</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585</v>
      </c>
      <c r="C1476" s="2" t="s">
        <v>569</v>
      </c>
      <c r="D1476" s="2" t="str">
        <f t="shared" si="22"/>
        <v>Error?</v>
      </c>
    </row>
    <row r="1477" spans="1:4" x14ac:dyDescent="0.2">
      <c r="A1477" s="5">
        <v>1416</v>
      </c>
      <c r="B1477" s="1825">
        <f>'Expenditures 15-22'!K234</f>
        <v>711</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815</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2111</v>
      </c>
      <c r="C1481" s="2" t="s">
        <v>569</v>
      </c>
      <c r="D1481" s="2" t="str">
        <f t="shared" si="22"/>
        <v>Error?</v>
      </c>
    </row>
    <row r="1482" spans="1:4" x14ac:dyDescent="0.2">
      <c r="A1482" s="5">
        <v>1421</v>
      </c>
      <c r="B1482" s="1825">
        <f>'Expenditures 15-22'!K240</f>
        <v>18</v>
      </c>
      <c r="C1482" s="2" t="s">
        <v>569</v>
      </c>
      <c r="D1482" s="2" t="str">
        <f t="shared" si="22"/>
        <v>Error?</v>
      </c>
    </row>
    <row r="1483" spans="1:4" x14ac:dyDescent="0.2">
      <c r="A1483" s="5">
        <v>1422</v>
      </c>
      <c r="B1483" s="1825">
        <f>'Expenditures 15-22'!K241</f>
        <v>7133</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7151</v>
      </c>
      <c r="C1485" s="2" t="s">
        <v>569</v>
      </c>
      <c r="D1485" s="2" t="str">
        <f t="shared" si="22"/>
        <v>Error?</v>
      </c>
    </row>
    <row r="1486" spans="1:4" x14ac:dyDescent="0.2">
      <c r="A1486" s="5">
        <v>1425</v>
      </c>
      <c r="B1486" s="1825">
        <f>'Expenditures 15-22'!K245</f>
        <v>626</v>
      </c>
      <c r="C1486" s="2" t="s">
        <v>569</v>
      </c>
      <c r="D1486" s="2" t="str">
        <f t="shared" si="22"/>
        <v>Error?</v>
      </c>
    </row>
    <row r="1487" spans="1:4" x14ac:dyDescent="0.2">
      <c r="A1487" s="5">
        <v>1426</v>
      </c>
      <c r="B1487" s="1825">
        <f>'Expenditures 15-22'!K246</f>
        <v>7338</v>
      </c>
      <c r="C1487" s="2" t="s">
        <v>569</v>
      </c>
      <c r="D1487" s="2" t="str">
        <f t="shared" si="22"/>
        <v>Error?</v>
      </c>
    </row>
    <row r="1488" spans="1:4" x14ac:dyDescent="0.2">
      <c r="A1488" s="5">
        <v>1427</v>
      </c>
      <c r="B1488" s="1825">
        <f>'Expenditures 15-22'!K257</f>
        <v>7964</v>
      </c>
      <c r="C1488" s="2" t="s">
        <v>569</v>
      </c>
      <c r="D1488" s="2" t="str">
        <f t="shared" si="22"/>
        <v>Error?</v>
      </c>
    </row>
    <row r="1489" spans="1:4" x14ac:dyDescent="0.2">
      <c r="A1489" s="5">
        <v>1428</v>
      </c>
      <c r="B1489" s="1825">
        <f>'Expenditures 15-22'!K259</f>
        <v>10398</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10398</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6634</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17438</v>
      </c>
      <c r="C1495" s="2" t="s">
        <v>569</v>
      </c>
      <c r="D1495" s="2" t="str">
        <f t="shared" si="22"/>
        <v>Error?</v>
      </c>
    </row>
    <row r="1496" spans="1:4" x14ac:dyDescent="0.2">
      <c r="A1496" s="5">
        <v>1435</v>
      </c>
      <c r="B1496" s="1825">
        <f>'Expenditures 15-22'!K267</f>
        <v>26926</v>
      </c>
      <c r="C1496" s="2" t="s">
        <v>569</v>
      </c>
      <c r="D1496" s="2" t="str">
        <f t="shared" si="22"/>
        <v>Error?</v>
      </c>
    </row>
    <row r="1497" spans="1:4" x14ac:dyDescent="0.2">
      <c r="A1497" s="5">
        <v>1436</v>
      </c>
      <c r="B1497" s="1825">
        <f>'Expenditures 15-22'!K268</f>
        <v>12213</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63211</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90835</v>
      </c>
      <c r="C1510" s="2" t="s">
        <v>569</v>
      </c>
      <c r="D1510" s="2" t="str">
        <f t="shared" si="22"/>
        <v>Error?</v>
      </c>
    </row>
    <row r="1511" spans="1:4" x14ac:dyDescent="0.2">
      <c r="A1511" s="5">
        <v>1450</v>
      </c>
      <c r="B1511" s="1825">
        <f>'Expenditures 15-22'!K280</f>
        <v>24560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170705</v>
      </c>
      <c r="C1517" s="2" t="s">
        <v>569</v>
      </c>
      <c r="D1517" s="2" t="str">
        <f t="shared" si="22"/>
        <v>Error?</v>
      </c>
    </row>
    <row r="1518" spans="1:4" x14ac:dyDescent="0.2">
      <c r="A1518" s="5">
        <v>1457</v>
      </c>
      <c r="B1518" s="1825">
        <f>'Expenditures 15-22'!K296</f>
        <v>-37641</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46020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46020</v>
      </c>
      <c r="C1535" s="2" t="s">
        <v>569</v>
      </c>
      <c r="D1535" s="2" t="str">
        <f t="shared" ref="D1535:D1598" si="23">IF(ISBLANK(B1535),"OK",IF(A1535-B1535=0,"OK","Error?"))</f>
        <v>Error?</v>
      </c>
    </row>
    <row r="1536" spans="1:4" x14ac:dyDescent="0.2">
      <c r="A1536" s="5">
        <v>1475</v>
      </c>
      <c r="B1536" s="1825">
        <f>'Expenditures 15-22'!E312</f>
        <v>46020</v>
      </c>
      <c r="C1536" s="2" t="s">
        <v>569</v>
      </c>
      <c r="D1536" s="2" t="str">
        <f t="shared" si="23"/>
        <v>Error?</v>
      </c>
    </row>
    <row r="1537" spans="1:4" x14ac:dyDescent="0.2">
      <c r="A1537" s="5">
        <v>1476</v>
      </c>
      <c r="B1537" s="1825">
        <f>'Expenditures 15-22'!F301</f>
        <v>7952</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7952</v>
      </c>
      <c r="C1541" s="2" t="s">
        <v>569</v>
      </c>
      <c r="D1541" s="2" t="str">
        <f t="shared" si="23"/>
        <v>Error?</v>
      </c>
    </row>
    <row r="1542" spans="1:4" x14ac:dyDescent="0.2">
      <c r="A1542" s="5">
        <v>1481</v>
      </c>
      <c r="B1542" s="1825">
        <f>'Expenditures 15-22'!F312</f>
        <v>7952</v>
      </c>
      <c r="C1542" s="2" t="s">
        <v>569</v>
      </c>
      <c r="D1542" s="2" t="str">
        <f t="shared" si="23"/>
        <v>Error?</v>
      </c>
    </row>
    <row r="1543" spans="1:4" x14ac:dyDescent="0.2">
      <c r="A1543" s="5">
        <v>1482</v>
      </c>
      <c r="B1543" s="1825">
        <f>'Expenditures 15-22'!G301</f>
        <v>42308</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42308</v>
      </c>
      <c r="C1547" s="2" t="s">
        <v>569</v>
      </c>
      <c r="D1547" s="2" t="str">
        <f t="shared" si="23"/>
        <v>Error?</v>
      </c>
    </row>
    <row r="1548" spans="1:4" x14ac:dyDescent="0.2">
      <c r="A1548" s="5">
        <v>1487</v>
      </c>
      <c r="B1548" s="1825">
        <f>'Expenditures 15-22'!G312</f>
        <v>42308</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96280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96280</v>
      </c>
      <c r="C1559" s="2" t="s">
        <v>569</v>
      </c>
      <c r="D1559" s="2" t="str">
        <f t="shared" si="23"/>
        <v>Error?</v>
      </c>
    </row>
    <row r="1560" spans="1:4" x14ac:dyDescent="0.2">
      <c r="A1560" s="5">
        <v>1499</v>
      </c>
      <c r="B1560" s="1825">
        <f>'Expenditures 15-22'!K312</f>
        <v>96280</v>
      </c>
      <c r="C1560" s="2" t="s">
        <v>569</v>
      </c>
      <c r="D1560" s="2" t="str">
        <f t="shared" si="23"/>
        <v>Error?</v>
      </c>
    </row>
    <row r="1561" spans="1:4" x14ac:dyDescent="0.2">
      <c r="A1561" s="5">
        <v>1500</v>
      </c>
      <c r="B1561" s="1825">
        <f>'Expenditures 15-22'!K313</f>
        <v>17144</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4156048</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4183717</v>
      </c>
      <c r="C1630" s="2" t="s">
        <v>569</v>
      </c>
      <c r="D1630" s="2" t="str">
        <f t="shared" si="24"/>
        <v>Error?</v>
      </c>
    </row>
    <row r="1631" spans="1:4" x14ac:dyDescent="0.2">
      <c r="A1631" s="5">
        <v>1570</v>
      </c>
      <c r="B1631" s="1825">
        <f>'Acct Summary 7-8'!D79</f>
        <v>1032784</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1047923</v>
      </c>
      <c r="C1644" s="2" t="s">
        <v>569</v>
      </c>
      <c r="D1644" s="2" t="str">
        <f t="shared" si="24"/>
        <v>Error?</v>
      </c>
    </row>
    <row r="1645" spans="1:4" x14ac:dyDescent="0.2">
      <c r="A1645" s="5">
        <v>1584</v>
      </c>
      <c r="B1645" s="1825">
        <f>'Acct Summary 7-8'!E79</f>
        <v>10633</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10558</v>
      </c>
      <c r="C1658" s="2" t="s">
        <v>569</v>
      </c>
      <c r="D1658" s="2" t="str">
        <f t="shared" si="24"/>
        <v>Error?</v>
      </c>
    </row>
    <row r="1659" spans="1:4" x14ac:dyDescent="0.2">
      <c r="A1659" s="5">
        <v>1598</v>
      </c>
      <c r="B1659" s="1825">
        <f>'Acct Summary 7-8'!F79</f>
        <v>371265</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361685</v>
      </c>
      <c r="C1672" s="2" t="s">
        <v>569</v>
      </c>
      <c r="D1672" s="2" t="str">
        <f t="shared" si="25"/>
        <v>Error?</v>
      </c>
    </row>
    <row r="1673" spans="1:4" x14ac:dyDescent="0.2">
      <c r="A1673" s="5">
        <v>1612</v>
      </c>
      <c r="B1673" s="1825">
        <f>'Acct Summary 7-8'!G79</f>
        <v>92851</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55210</v>
      </c>
      <c r="C1686" s="2" t="s">
        <v>569</v>
      </c>
      <c r="D1686" s="2" t="str">
        <f t="shared" si="25"/>
        <v>Error?</v>
      </c>
    </row>
    <row r="1687" spans="1:4" x14ac:dyDescent="0.2">
      <c r="A1687" s="5">
        <v>1626</v>
      </c>
      <c r="B1687" s="1825">
        <f>'Acct Summary 7-8'!H79</f>
        <v>151074</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168218</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1167249</v>
      </c>
      <c r="C1744" s="2" t="s">
        <v>569</v>
      </c>
      <c r="D1744" s="2" t="str">
        <f t="shared" si="26"/>
        <v>Error?</v>
      </c>
    </row>
    <row r="1745" spans="1:5" x14ac:dyDescent="0.2">
      <c r="A1745" s="5">
        <v>1684</v>
      </c>
      <c r="B1745" s="1825">
        <f>'Tax Sched 23'!B5</f>
        <v>151399</v>
      </c>
      <c r="C1745" s="2" t="s">
        <v>569</v>
      </c>
      <c r="D1745" s="2" t="str">
        <f t="shared" si="26"/>
        <v>Error?</v>
      </c>
    </row>
    <row r="1746" spans="1:5" x14ac:dyDescent="0.2">
      <c r="A1746" s="5">
        <v>1685</v>
      </c>
      <c r="B1746" s="1825">
        <f>'Tax Sched 23'!B6</f>
        <v>108637</v>
      </c>
      <c r="C1746" s="2" t="s">
        <v>569</v>
      </c>
      <c r="D1746" s="2" t="str">
        <f t="shared" si="26"/>
        <v>Error?</v>
      </c>
    </row>
    <row r="1747" spans="1:5" x14ac:dyDescent="0.2">
      <c r="A1747" s="5">
        <v>1686</v>
      </c>
      <c r="B1747" s="1825">
        <f>'Tax Sched 23'!B7</f>
        <v>190474</v>
      </c>
      <c r="C1747" s="2" t="s">
        <v>569</v>
      </c>
      <c r="D1747" s="2" t="str">
        <f t="shared" si="26"/>
        <v>Error?</v>
      </c>
    </row>
    <row r="1748" spans="1:5" x14ac:dyDescent="0.2">
      <c r="A1748" s="5">
        <v>1687</v>
      </c>
      <c r="B1748" s="1825">
        <f>'Tax Sched 23'!B8</f>
        <v>63491</v>
      </c>
      <c r="C1748" s="2" t="s">
        <v>569</v>
      </c>
      <c r="D1748" s="2" t="str">
        <f t="shared" si="26"/>
        <v>Error?</v>
      </c>
    </row>
    <row r="1749" spans="1:5" x14ac:dyDescent="0.2">
      <c r="A1749" s="5">
        <v>1688</v>
      </c>
      <c r="B1749" s="1825">
        <f>'Tax Sched 23'!B10</f>
        <v>11231</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73258</v>
      </c>
      <c r="C1752" s="2" t="s">
        <v>569</v>
      </c>
      <c r="D1752" s="2" t="str">
        <f t="shared" si="26"/>
        <v>Error?</v>
      </c>
    </row>
    <row r="1753" spans="1:5" x14ac:dyDescent="0.2">
      <c r="A1753" s="5">
        <v>1692</v>
      </c>
      <c r="B1753" s="1825">
        <f>'Tax Sched 23'!B12</f>
        <v>7622</v>
      </c>
      <c r="C1753" s="2" t="s">
        <v>569</v>
      </c>
      <c r="D1753" s="2" t="str">
        <f t="shared" si="26"/>
        <v>Error?</v>
      </c>
    </row>
    <row r="1754" spans="1:5" x14ac:dyDescent="0.2">
      <c r="A1754" s="5">
        <v>1693</v>
      </c>
      <c r="B1754" s="1825">
        <f>'Tax Sched 23'!B14</f>
        <v>9767</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1851502</v>
      </c>
      <c r="C1759" s="2" t="s">
        <v>569</v>
      </c>
      <c r="D1759" s="2" t="str">
        <f t="shared" si="26"/>
        <v>Error?</v>
      </c>
    </row>
    <row r="1760" spans="1:5" x14ac:dyDescent="0.2">
      <c r="A1760" s="5">
        <v>1699</v>
      </c>
      <c r="B1760" s="1825">
        <f>'Tax Sched 23'!D4</f>
        <v>1167249</v>
      </c>
      <c r="C1760" s="2" t="s">
        <v>569</v>
      </c>
      <c r="D1760" s="2" t="str">
        <f t="shared" si="26"/>
        <v>Error?</v>
      </c>
    </row>
    <row r="1761" spans="1:7" x14ac:dyDescent="0.2">
      <c r="A1761" s="5">
        <v>1700</v>
      </c>
      <c r="B1761" s="1825">
        <f>'Tax Sched 23'!D5</f>
        <v>151399</v>
      </c>
      <c r="C1761" s="2" t="s">
        <v>569</v>
      </c>
      <c r="D1761" s="2" t="str">
        <f t="shared" si="26"/>
        <v>Error?</v>
      </c>
    </row>
    <row r="1762" spans="1:7" s="8" customFormat="1" x14ac:dyDescent="0.2">
      <c r="A1762" s="5">
        <v>1701</v>
      </c>
      <c r="B1762" s="1825">
        <f>'Tax Sched 23'!D6</f>
        <v>108637</v>
      </c>
      <c r="C1762" s="2" t="s">
        <v>569</v>
      </c>
      <c r="D1762" s="2" t="str">
        <f t="shared" si="26"/>
        <v>Error?</v>
      </c>
      <c r="E1762" s="9"/>
      <c r="G1762"/>
    </row>
    <row r="1763" spans="1:7" x14ac:dyDescent="0.2">
      <c r="A1763" s="5">
        <v>1702</v>
      </c>
      <c r="B1763" s="1825">
        <f>'Tax Sched 23'!D7</f>
        <v>190474</v>
      </c>
      <c r="C1763" s="2" t="s">
        <v>569</v>
      </c>
      <c r="D1763" s="2" t="str">
        <f t="shared" si="26"/>
        <v>Error?</v>
      </c>
    </row>
    <row r="1764" spans="1:7" x14ac:dyDescent="0.2">
      <c r="A1764" s="5">
        <v>1703</v>
      </c>
      <c r="B1764" s="1825">
        <f>'Tax Sched 23'!D8</f>
        <v>63491</v>
      </c>
      <c r="C1764" s="2" t="s">
        <v>569</v>
      </c>
      <c r="D1764" s="2" t="str">
        <f t="shared" si="26"/>
        <v>Error?</v>
      </c>
    </row>
    <row r="1765" spans="1:7" x14ac:dyDescent="0.2">
      <c r="A1765" s="5">
        <v>1704</v>
      </c>
      <c r="B1765" s="1825">
        <f>'Tax Sched 23'!D10</f>
        <v>11231</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73258</v>
      </c>
      <c r="C1768" s="2" t="s">
        <v>569</v>
      </c>
      <c r="D1768" s="2" t="str">
        <f t="shared" si="26"/>
        <v>Error?</v>
      </c>
    </row>
    <row r="1769" spans="1:7" x14ac:dyDescent="0.2">
      <c r="A1769" s="5">
        <v>1708</v>
      </c>
      <c r="B1769" s="1825">
        <f>'Tax Sched 23'!D12</f>
        <v>7622</v>
      </c>
      <c r="C1769" s="2" t="s">
        <v>569</v>
      </c>
      <c r="D1769" s="2" t="str">
        <f t="shared" si="26"/>
        <v>Error?</v>
      </c>
    </row>
    <row r="1770" spans="1:7" x14ac:dyDescent="0.2">
      <c r="A1770" s="5">
        <v>1709</v>
      </c>
      <c r="B1770" s="1825">
        <f>'Tax Sched 23'!D14</f>
        <v>9767</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1851502</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1181241</v>
      </c>
      <c r="C1792" s="2" t="s">
        <v>569</v>
      </c>
      <c r="D1792" s="2" t="str">
        <f t="shared" si="27"/>
        <v>Error?</v>
      </c>
    </row>
    <row r="1793" spans="1:4" x14ac:dyDescent="0.2">
      <c r="A1793" s="5">
        <v>1732</v>
      </c>
      <c r="B1793" s="1825">
        <f>'Tax Sched 23'!F5</f>
        <v>167718</v>
      </c>
      <c r="C1793" s="2" t="s">
        <v>569</v>
      </c>
      <c r="D1793" s="2" t="str">
        <f t="shared" si="27"/>
        <v>Error?</v>
      </c>
    </row>
    <row r="1794" spans="1:4" x14ac:dyDescent="0.2">
      <c r="A1794" s="5">
        <v>1733</v>
      </c>
      <c r="B1794" s="1825">
        <f>'Tax Sched 23'!F6</f>
        <v>106652</v>
      </c>
      <c r="C1794" s="2" t="s">
        <v>569</v>
      </c>
      <c r="D1794" s="2" t="str">
        <f t="shared" si="27"/>
        <v>Error?</v>
      </c>
    </row>
    <row r="1795" spans="1:4" x14ac:dyDescent="0.2">
      <c r="A1795" s="5">
        <v>1734</v>
      </c>
      <c r="B1795" s="1825">
        <f>'Tax Sched 23'!F7</f>
        <v>200130</v>
      </c>
      <c r="C1795" s="2" t="s">
        <v>569</v>
      </c>
      <c r="D1795" s="2" t="str">
        <f t="shared" si="27"/>
        <v>Error?</v>
      </c>
    </row>
    <row r="1796" spans="1:4" x14ac:dyDescent="0.2">
      <c r="A1796" s="5">
        <v>1735</v>
      </c>
      <c r="B1796" s="1825">
        <f>'Tax Sched 23'!F8</f>
        <v>65406</v>
      </c>
      <c r="C1796" s="2" t="s">
        <v>569</v>
      </c>
      <c r="D1796" s="2" t="str">
        <f t="shared" si="27"/>
        <v>Error?</v>
      </c>
    </row>
    <row r="1797" spans="1:4" x14ac:dyDescent="0.2">
      <c r="A1797" s="5">
        <v>1736</v>
      </c>
      <c r="B1797" s="1825">
        <f>'Tax Sched 23'!F10</f>
        <v>11717</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74195</v>
      </c>
      <c r="C1800" s="2" t="s">
        <v>569</v>
      </c>
      <c r="D1800" s="2" t="str">
        <f t="shared" si="27"/>
        <v>Error?</v>
      </c>
    </row>
    <row r="1801" spans="1:4" x14ac:dyDescent="0.2">
      <c r="A1801" s="5">
        <v>1740</v>
      </c>
      <c r="B1801" s="1825">
        <f>'Tax Sched 23'!F12</f>
        <v>7808</v>
      </c>
      <c r="C1801" s="2" t="s">
        <v>569</v>
      </c>
      <c r="D1801" s="2" t="str">
        <f t="shared" si="27"/>
        <v>Error?</v>
      </c>
    </row>
    <row r="1802" spans="1:4" x14ac:dyDescent="0.2">
      <c r="A1802" s="5">
        <v>1741</v>
      </c>
      <c r="B1802" s="1825">
        <f>'Tax Sched 23'!F14</f>
        <v>10737</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1896866</v>
      </c>
      <c r="C1807" s="2" t="s">
        <v>569</v>
      </c>
      <c r="D1807" s="2" t="str">
        <f t="shared" si="27"/>
        <v>Error?</v>
      </c>
    </row>
    <row r="1808" spans="1:4" x14ac:dyDescent="0.2">
      <c r="A1808" s="5">
        <v>1747</v>
      </c>
      <c r="B1808" s="1825">
        <f>'Tax Sched 23'!E4</f>
        <v>1181241</v>
      </c>
      <c r="D1808" s="2" t="str">
        <f t="shared" si="27"/>
        <v>Error?</v>
      </c>
    </row>
    <row r="1809" spans="1:4" x14ac:dyDescent="0.2">
      <c r="A1809" s="5">
        <v>1748</v>
      </c>
      <c r="B1809" s="1825">
        <f>'Tax Sched 23'!E5</f>
        <v>167718</v>
      </c>
      <c r="D1809" s="2" t="str">
        <f t="shared" si="27"/>
        <v>Error?</v>
      </c>
    </row>
    <row r="1810" spans="1:4" x14ac:dyDescent="0.2">
      <c r="A1810" s="5">
        <v>1749</v>
      </c>
      <c r="B1810" s="1825">
        <f>'Tax Sched 23'!E6</f>
        <v>106652</v>
      </c>
      <c r="D1810" s="2" t="str">
        <f t="shared" si="27"/>
        <v>Error?</v>
      </c>
    </row>
    <row r="1811" spans="1:4" x14ac:dyDescent="0.2">
      <c r="A1811" s="5">
        <v>1750</v>
      </c>
      <c r="B1811" s="1825">
        <f>'Tax Sched 23'!E7</f>
        <v>200130</v>
      </c>
      <c r="D1811" s="2" t="str">
        <f t="shared" si="27"/>
        <v>Error?</v>
      </c>
    </row>
    <row r="1812" spans="1:4" x14ac:dyDescent="0.2">
      <c r="A1812" s="5">
        <v>1751</v>
      </c>
      <c r="B1812" s="1825">
        <f>'Tax Sched 23'!E8</f>
        <v>65406</v>
      </c>
      <c r="D1812" s="2" t="str">
        <f t="shared" si="27"/>
        <v>Error?</v>
      </c>
    </row>
    <row r="1813" spans="1:4" x14ac:dyDescent="0.2">
      <c r="A1813" s="5">
        <v>1752</v>
      </c>
      <c r="B1813" s="1825">
        <f>'Tax Sched 23'!E10</f>
        <v>11717</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74195</v>
      </c>
      <c r="D1816" s="2" t="str">
        <f t="shared" si="27"/>
        <v>Error?</v>
      </c>
    </row>
    <row r="1817" spans="1:4" x14ac:dyDescent="0.2">
      <c r="A1817" s="5">
        <v>1756</v>
      </c>
      <c r="B1817" s="1825">
        <f>'Tax Sched 23'!E12</f>
        <v>7808</v>
      </c>
      <c r="D1817" s="2" t="str">
        <f t="shared" si="27"/>
        <v>Error?</v>
      </c>
    </row>
    <row r="1818" spans="1:4" x14ac:dyDescent="0.2">
      <c r="A1818" s="5">
        <v>1757</v>
      </c>
      <c r="B1818" s="1825">
        <f>'Tax Sched 23'!E14</f>
        <v>10737</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1896866</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620000</v>
      </c>
      <c r="C1939" s="2" t="s">
        <v>569</v>
      </c>
      <c r="D1939" s="2" t="str">
        <f t="shared" si="29"/>
        <v>Error?</v>
      </c>
    </row>
    <row r="1940" spans="1:5" x14ac:dyDescent="0.2">
      <c r="A1940" s="5">
        <v>1879</v>
      </c>
      <c r="B1940" s="1825">
        <f>'Short-Term Long-Term Debt 24'!F49</f>
        <v>172677</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9767</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9767</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9767</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38961</v>
      </c>
      <c r="D2008" s="2" t="str">
        <f t="shared" si="30"/>
        <v>Error?</v>
      </c>
    </row>
    <row r="2009" spans="1:4" x14ac:dyDescent="0.2">
      <c r="A2009" s="5">
        <v>1948</v>
      </c>
      <c r="B2009" s="1825">
        <f>'Cap Outlay Deprec 26'!C8</f>
        <v>3370748</v>
      </c>
      <c r="D2009" s="2" t="str">
        <f t="shared" si="30"/>
        <v>Error?</v>
      </c>
    </row>
    <row r="2010" spans="1:4" x14ac:dyDescent="0.2">
      <c r="A2010" s="5">
        <v>1949</v>
      </c>
      <c r="B2010" s="1825">
        <f>'Cap Outlay Deprec 26'!C10</f>
        <v>56161</v>
      </c>
      <c r="D2010" s="2" t="str">
        <f t="shared" si="30"/>
        <v>Error?</v>
      </c>
    </row>
    <row r="2011" spans="1:4" x14ac:dyDescent="0.2">
      <c r="A2011" s="5">
        <v>1950</v>
      </c>
      <c r="B2011" s="1825">
        <f>'Cap Outlay Deprec 26'!C12</f>
        <v>1739694</v>
      </c>
      <c r="D2011" s="2" t="str">
        <f t="shared" si="30"/>
        <v>Error?</v>
      </c>
    </row>
    <row r="2012" spans="1:4" x14ac:dyDescent="0.2">
      <c r="A2012" s="5">
        <v>1951</v>
      </c>
      <c r="B2012" s="1825">
        <f>'Cap Outlay Deprec 26'!C13</f>
        <v>1011947</v>
      </c>
      <c r="D2012" s="2" t="str">
        <f t="shared" si="30"/>
        <v>Error?</v>
      </c>
    </row>
    <row r="2013" spans="1:4" x14ac:dyDescent="0.2">
      <c r="A2013" s="5">
        <v>1952</v>
      </c>
      <c r="B2013" s="1825">
        <f>'Cap Outlay Deprec 26'!C16</f>
        <v>6217511</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42308</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93683</v>
      </c>
      <c r="D2017" s="2" t="str">
        <f t="shared" si="30"/>
        <v>Error?</v>
      </c>
    </row>
    <row r="2018" spans="1:4" x14ac:dyDescent="0.2">
      <c r="A2018" s="5">
        <v>1957</v>
      </c>
      <c r="B2018" s="1825">
        <f>'Cap Outlay Deprec 26'!D13</f>
        <v>236359</v>
      </c>
      <c r="D2018" s="2" t="str">
        <f t="shared" si="30"/>
        <v>Error?</v>
      </c>
    </row>
    <row r="2019" spans="1:4" x14ac:dyDescent="0.2">
      <c r="A2019" s="5">
        <v>1958</v>
      </c>
      <c r="B2019" s="1825">
        <f>'Cap Outlay Deprec 26'!D16</f>
        <v>372350</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19580</v>
      </c>
      <c r="D2023" s="2" t="str">
        <f t="shared" si="30"/>
        <v>Error?</v>
      </c>
    </row>
    <row r="2024" spans="1:4" x14ac:dyDescent="0.2">
      <c r="A2024" s="5">
        <v>1963</v>
      </c>
      <c r="B2024" s="1825">
        <f>'Cap Outlay Deprec 26'!E13</f>
        <v>149468</v>
      </c>
      <c r="D2024" s="2" t="str">
        <f t="shared" si="30"/>
        <v>Error?</v>
      </c>
    </row>
    <row r="2025" spans="1:4" x14ac:dyDescent="0.2">
      <c r="A2025" s="5">
        <v>1964</v>
      </c>
      <c r="B2025" s="1825">
        <f>'Cap Outlay Deprec 26'!E16</f>
        <v>169048</v>
      </c>
      <c r="C2025" s="2" t="s">
        <v>569</v>
      </c>
      <c r="D2025" s="2" t="str">
        <f t="shared" si="30"/>
        <v>Error?</v>
      </c>
    </row>
    <row r="2026" spans="1:4" x14ac:dyDescent="0.2">
      <c r="A2026" s="5">
        <v>1965</v>
      </c>
      <c r="B2026" s="1825">
        <f>'Cap Outlay Deprec 26'!F5</f>
        <v>38961</v>
      </c>
      <c r="C2026" s="2" t="s">
        <v>569</v>
      </c>
      <c r="D2026" s="2" t="str">
        <f t="shared" si="30"/>
        <v>Error?</v>
      </c>
    </row>
    <row r="2027" spans="1:4" x14ac:dyDescent="0.2">
      <c r="A2027" s="5">
        <v>1966</v>
      </c>
      <c r="B2027" s="1825">
        <f>'Cap Outlay Deprec 26'!F8</f>
        <v>3413056</v>
      </c>
      <c r="C2027" s="2" t="s">
        <v>569</v>
      </c>
      <c r="D2027" s="2" t="str">
        <f t="shared" si="30"/>
        <v>Error?</v>
      </c>
    </row>
    <row r="2028" spans="1:4" x14ac:dyDescent="0.2">
      <c r="A2028" s="5">
        <v>1967</v>
      </c>
      <c r="B2028" s="1825">
        <f>'Cap Outlay Deprec 26'!F10</f>
        <v>56161</v>
      </c>
      <c r="C2028" s="2" t="s">
        <v>569</v>
      </c>
      <c r="D2028" s="2" t="str">
        <f t="shared" si="30"/>
        <v>Error?</v>
      </c>
    </row>
    <row r="2029" spans="1:4" x14ac:dyDescent="0.2">
      <c r="A2029" s="5">
        <v>1968</v>
      </c>
      <c r="B2029" s="1825">
        <f>'Cap Outlay Deprec 26'!F12</f>
        <v>1813797</v>
      </c>
      <c r="C2029" s="2" t="s">
        <v>569</v>
      </c>
      <c r="D2029" s="2" t="str">
        <f t="shared" si="30"/>
        <v>Error?</v>
      </c>
    </row>
    <row r="2030" spans="1:4" x14ac:dyDescent="0.2">
      <c r="A2030" s="5">
        <v>1969</v>
      </c>
      <c r="B2030" s="1825">
        <f>'Cap Outlay Deprec 26'!F13</f>
        <v>1098838</v>
      </c>
      <c r="C2030" s="2" t="s">
        <v>569</v>
      </c>
      <c r="D2030" s="2" t="str">
        <f t="shared" si="30"/>
        <v>Error?</v>
      </c>
    </row>
    <row r="2031" spans="1:4" x14ac:dyDescent="0.2">
      <c r="A2031" s="5">
        <v>1970</v>
      </c>
      <c r="B2031" s="1825">
        <f>'Cap Outlay Deprec 26'!F16</f>
        <v>6420813</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2246516</v>
      </c>
      <c r="D2033" s="2" t="str">
        <f t="shared" si="30"/>
        <v>Error?</v>
      </c>
    </row>
    <row r="2034" spans="1:4" x14ac:dyDescent="0.2">
      <c r="A2034" s="5">
        <v>1973</v>
      </c>
      <c r="B2034" s="1825">
        <f>'Cap Outlay Deprec 26'!H10</f>
        <v>49456</v>
      </c>
      <c r="D2034" s="2" t="str">
        <f t="shared" si="30"/>
        <v>Error?</v>
      </c>
    </row>
    <row r="2035" spans="1:4" x14ac:dyDescent="0.2">
      <c r="A2035" s="5">
        <v>1974</v>
      </c>
      <c r="B2035" s="1825">
        <f>'Cap Outlay Deprec 26'!H12</f>
        <v>992498</v>
      </c>
      <c r="D2035" s="2" t="str">
        <f t="shared" si="30"/>
        <v>Error?</v>
      </c>
    </row>
    <row r="2036" spans="1:4" x14ac:dyDescent="0.2">
      <c r="A2036" s="5">
        <v>1975</v>
      </c>
      <c r="B2036" s="1825">
        <f>'Cap Outlay Deprec 26'!H13</f>
        <v>813435</v>
      </c>
      <c r="D2036" s="2" t="str">
        <f t="shared" si="30"/>
        <v>Error?</v>
      </c>
    </row>
    <row r="2037" spans="1:4" x14ac:dyDescent="0.2">
      <c r="A2037" s="5">
        <v>1976</v>
      </c>
      <c r="B2037" s="1825">
        <f>'Cap Outlay Deprec 26'!H16</f>
        <v>4101905</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68261</v>
      </c>
      <c r="D2039" s="2" t="str">
        <f t="shared" si="30"/>
        <v>Error?</v>
      </c>
    </row>
    <row r="2040" spans="1:4" x14ac:dyDescent="0.2">
      <c r="A2040" s="5">
        <v>1979</v>
      </c>
      <c r="B2040" s="1825">
        <f>'Cap Outlay Deprec 26'!I10</f>
        <v>335</v>
      </c>
      <c r="D2040" s="2" t="str">
        <f t="shared" si="30"/>
        <v>Error?</v>
      </c>
    </row>
    <row r="2041" spans="1:4" x14ac:dyDescent="0.2">
      <c r="A2041" s="5">
        <v>1980</v>
      </c>
      <c r="B2041" s="1825">
        <f>'Cap Outlay Deprec 26'!I12</f>
        <v>84088</v>
      </c>
      <c r="D2041" s="2" t="str">
        <f t="shared" si="30"/>
        <v>Error?</v>
      </c>
    </row>
    <row r="2042" spans="1:4" x14ac:dyDescent="0.2">
      <c r="A2042" s="5">
        <v>1981</v>
      </c>
      <c r="B2042" s="1825">
        <f>'Cap Outlay Deprec 26'!I13</f>
        <v>68278</v>
      </c>
      <c r="D2042" s="2" t="str">
        <f t="shared" si="30"/>
        <v>Error?</v>
      </c>
    </row>
    <row r="2043" spans="1:4" x14ac:dyDescent="0.2">
      <c r="A2043" s="5">
        <v>1982</v>
      </c>
      <c r="B2043" s="1825">
        <f>'Cap Outlay Deprec 26'!I16</f>
        <v>220962</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19580</v>
      </c>
      <c r="D2047" s="2" t="str">
        <f t="shared" ref="D2047:D2110" si="31">IF(ISBLANK(B2047),"OK",IF(A2047-B2047=0,"OK","Error?"))</f>
        <v>Error?</v>
      </c>
    </row>
    <row r="2048" spans="1:4" x14ac:dyDescent="0.2">
      <c r="A2048" s="5">
        <v>1987</v>
      </c>
      <c r="B2048" s="1825">
        <f>'Cap Outlay Deprec 26'!J13</f>
        <v>66828</v>
      </c>
      <c r="D2048" s="2" t="str">
        <f t="shared" si="31"/>
        <v>Error?</v>
      </c>
    </row>
    <row r="2049" spans="1:4" x14ac:dyDescent="0.2">
      <c r="A2049" s="5">
        <v>1988</v>
      </c>
      <c r="B2049" s="1825">
        <f>'Cap Outlay Deprec 26'!J16</f>
        <v>86408</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2314777</v>
      </c>
      <c r="C2051" s="2" t="s">
        <v>569</v>
      </c>
      <c r="D2051" s="2" t="str">
        <f t="shared" si="31"/>
        <v>Error?</v>
      </c>
    </row>
    <row r="2052" spans="1:4" x14ac:dyDescent="0.2">
      <c r="A2052" s="5">
        <v>1991</v>
      </c>
      <c r="B2052" s="1825">
        <f>'Cap Outlay Deprec 26'!K10</f>
        <v>49791</v>
      </c>
      <c r="C2052" s="2" t="s">
        <v>569</v>
      </c>
      <c r="D2052" s="2" t="str">
        <f t="shared" si="31"/>
        <v>Error?</v>
      </c>
    </row>
    <row r="2053" spans="1:4" x14ac:dyDescent="0.2">
      <c r="A2053" s="5">
        <v>1992</v>
      </c>
      <c r="B2053" s="1825">
        <f>'Cap Outlay Deprec 26'!K12</f>
        <v>1057006</v>
      </c>
      <c r="C2053" s="2" t="s">
        <v>569</v>
      </c>
      <c r="D2053" s="2" t="str">
        <f t="shared" si="31"/>
        <v>Error?</v>
      </c>
    </row>
    <row r="2054" spans="1:4" x14ac:dyDescent="0.2">
      <c r="A2054" s="5">
        <v>1993</v>
      </c>
      <c r="B2054" s="1825">
        <f>'Cap Outlay Deprec 26'!K13</f>
        <v>814885</v>
      </c>
      <c r="C2054" s="2" t="s">
        <v>569</v>
      </c>
      <c r="D2054" s="2" t="str">
        <f t="shared" si="31"/>
        <v>Error?</v>
      </c>
    </row>
    <row r="2055" spans="1:4" x14ac:dyDescent="0.2">
      <c r="A2055" s="5">
        <v>1994</v>
      </c>
      <c r="B2055" s="1825">
        <f>'Cap Outlay Deprec 26'!K16</f>
        <v>4236459</v>
      </c>
      <c r="C2055" s="2" t="s">
        <v>569</v>
      </c>
      <c r="D2055" s="2" t="str">
        <f t="shared" si="31"/>
        <v>Error?</v>
      </c>
    </row>
    <row r="2056" spans="1:4" x14ac:dyDescent="0.2">
      <c r="A2056" s="5">
        <v>1995</v>
      </c>
      <c r="B2056" s="1825">
        <f>'Cap Outlay Deprec 26'!L5</f>
        <v>38961</v>
      </c>
      <c r="C2056" s="2" t="s">
        <v>569</v>
      </c>
      <c r="D2056" s="2" t="str">
        <f t="shared" si="31"/>
        <v>Error?</v>
      </c>
    </row>
    <row r="2057" spans="1:4" x14ac:dyDescent="0.2">
      <c r="A2057" s="5">
        <v>1996</v>
      </c>
      <c r="B2057" s="1825">
        <f>'Cap Outlay Deprec 26'!L8</f>
        <v>1098279</v>
      </c>
      <c r="C2057" s="2" t="s">
        <v>569</v>
      </c>
      <c r="D2057" s="2" t="str">
        <f t="shared" si="31"/>
        <v>Error?</v>
      </c>
    </row>
    <row r="2058" spans="1:4" x14ac:dyDescent="0.2">
      <c r="A2058" s="5">
        <v>1997</v>
      </c>
      <c r="B2058" s="1825">
        <f>'Cap Outlay Deprec 26'!L10</f>
        <v>6370</v>
      </c>
      <c r="C2058" s="2" t="s">
        <v>569</v>
      </c>
      <c r="D2058" s="2" t="str">
        <f t="shared" si="31"/>
        <v>Error?</v>
      </c>
    </row>
    <row r="2059" spans="1:4" x14ac:dyDescent="0.2">
      <c r="A2059" s="5">
        <v>1998</v>
      </c>
      <c r="B2059" s="1825">
        <f>'Cap Outlay Deprec 26'!L12</f>
        <v>756791</v>
      </c>
      <c r="C2059" s="2" t="s">
        <v>569</v>
      </c>
      <c r="D2059" s="2" t="str">
        <f t="shared" si="31"/>
        <v>Error?</v>
      </c>
    </row>
    <row r="2060" spans="1:4" x14ac:dyDescent="0.2">
      <c r="A2060" s="5">
        <v>1999</v>
      </c>
      <c r="B2060" s="1825">
        <f>'Cap Outlay Deprec 26'!L13</f>
        <v>283953</v>
      </c>
      <c r="C2060" s="2" t="s">
        <v>569</v>
      </c>
      <c r="D2060" s="2" t="str">
        <f t="shared" si="31"/>
        <v>Error?</v>
      </c>
    </row>
    <row r="2061" spans="1:4" x14ac:dyDescent="0.2">
      <c r="A2061" s="5">
        <v>2000</v>
      </c>
      <c r="B2061" s="1825">
        <f>'Cap Outlay Deprec 26'!L16</f>
        <v>2184354</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71496</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92902</v>
      </c>
      <c r="C2088" s="2" t="s">
        <v>569</v>
      </c>
      <c r="D2088" s="2" t="str">
        <f t="shared" si="31"/>
        <v>Error?</v>
      </c>
    </row>
    <row r="2089" spans="1:4" x14ac:dyDescent="0.2">
      <c r="A2089" s="5">
        <v>2028</v>
      </c>
      <c r="B2089" s="1825">
        <f>'Expenditures 15-22'!K92</f>
        <v>0</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55210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10558</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168218</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1526899</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1989944</v>
      </c>
      <c r="C2553" s="2" t="s">
        <v>569</v>
      </c>
      <c r="D2553" s="2" t="str">
        <f t="shared" si="38"/>
        <v>Error?</v>
      </c>
    </row>
    <row r="2554" spans="1:4" x14ac:dyDescent="0.2">
      <c r="A2554" s="5">
        <v>2493</v>
      </c>
      <c r="B2554" s="1825">
        <f>'Acct Summary 7-8'!C7</f>
        <v>333827</v>
      </c>
      <c r="C2554" s="2" t="s">
        <v>569</v>
      </c>
      <c r="D2554" s="2" t="str">
        <f t="shared" si="38"/>
        <v>Error?</v>
      </c>
    </row>
    <row r="2555" spans="1:4" x14ac:dyDescent="0.2">
      <c r="A2555" s="5">
        <v>2494</v>
      </c>
      <c r="B2555" s="1825">
        <f>'Acct Summary 7-8'!C8</f>
        <v>3850670</v>
      </c>
      <c r="C2555" s="2" t="s">
        <v>569</v>
      </c>
      <c r="D2555" s="2" t="str">
        <f t="shared" si="38"/>
        <v>Error?</v>
      </c>
    </row>
    <row r="2556" spans="1:4" x14ac:dyDescent="0.2">
      <c r="A2556" s="5">
        <v>2495</v>
      </c>
      <c r="B2556" s="1825">
        <f>'Acct Summary 7-8'!C12</f>
        <v>2447532</v>
      </c>
      <c r="C2556" s="2" t="s">
        <v>569</v>
      </c>
      <c r="D2556" s="2" t="str">
        <f t="shared" si="38"/>
        <v>Error?</v>
      </c>
    </row>
    <row r="2557" spans="1:4" x14ac:dyDescent="0.2">
      <c r="A2557" s="5">
        <v>2496</v>
      </c>
      <c r="B2557" s="1825">
        <f>'Acct Summary 7-8'!C13</f>
        <v>1098894</v>
      </c>
      <c r="C2557" s="2" t="s">
        <v>569</v>
      </c>
      <c r="D2557" s="2" t="str">
        <f t="shared" si="38"/>
        <v>Error?</v>
      </c>
    </row>
    <row r="2558" spans="1:4" x14ac:dyDescent="0.2">
      <c r="A2558" s="5">
        <v>2497</v>
      </c>
      <c r="B2558" s="1825">
        <f>'Acct Summary 7-8'!C14</f>
        <v>188982</v>
      </c>
      <c r="C2558" s="2" t="s">
        <v>569</v>
      </c>
      <c r="D2558" s="2" t="str">
        <f t="shared" si="38"/>
        <v>Error?</v>
      </c>
    </row>
    <row r="2559" spans="1:4" x14ac:dyDescent="0.2">
      <c r="A2559" s="5">
        <v>2498</v>
      </c>
      <c r="B2559" s="1825">
        <f>'Acct Summary 7-8'!C15</f>
        <v>92902</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3828310</v>
      </c>
      <c r="C2561" s="2" t="s">
        <v>569</v>
      </c>
      <c r="D2561" s="2" t="str">
        <f t="shared" si="39"/>
        <v>Error?</v>
      </c>
    </row>
    <row r="2562" spans="1:4" x14ac:dyDescent="0.2">
      <c r="A2562" s="5">
        <v>2501</v>
      </c>
      <c r="B2562" s="1825">
        <f>'Acct Summary 7-8'!C20</f>
        <v>22360</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243333</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50000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293333</v>
      </c>
      <c r="C2568" s="2" t="s">
        <v>569</v>
      </c>
      <c r="D2568" s="2" t="str">
        <f t="shared" si="39"/>
        <v>Error?</v>
      </c>
    </row>
    <row r="2569" spans="1:4" x14ac:dyDescent="0.2">
      <c r="A2569" s="5">
        <v>2508</v>
      </c>
      <c r="B2569" s="1825">
        <f>'Acct Summary 7-8'!D13</f>
        <v>278194</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278194</v>
      </c>
      <c r="C2573" s="2" t="s">
        <v>569</v>
      </c>
      <c r="D2573" s="2" t="str">
        <f t="shared" si="39"/>
        <v>Error?</v>
      </c>
    </row>
    <row r="2574" spans="1:4" x14ac:dyDescent="0.2">
      <c r="A2574" s="5">
        <v>2513</v>
      </c>
      <c r="B2574" s="1825">
        <f>'Acct Summary 7-8'!D20</f>
        <v>15139</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192960</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195166</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388126</v>
      </c>
      <c r="C2595" s="2" t="s">
        <v>569</v>
      </c>
      <c r="D2595" s="2" t="str">
        <f t="shared" si="39"/>
        <v>Error?</v>
      </c>
    </row>
    <row r="2596" spans="1:4" x14ac:dyDescent="0.2">
      <c r="A2596" s="5">
        <v>2535</v>
      </c>
      <c r="B2596" s="1825">
        <f>'Acct Summary 7-8'!F13</f>
        <v>361318</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36888</v>
      </c>
      <c r="C2599" s="2" t="s">
        <v>569</v>
      </c>
      <c r="D2599" s="2" t="str">
        <f t="shared" si="39"/>
        <v>Error?</v>
      </c>
    </row>
    <row r="2600" spans="1:4" x14ac:dyDescent="0.2">
      <c r="A2600" s="5">
        <v>2539</v>
      </c>
      <c r="B2600" s="1825">
        <f>'Acct Summary 7-8'!F17</f>
        <v>398206</v>
      </c>
      <c r="C2600" s="2" t="s">
        <v>569</v>
      </c>
      <c r="D2600" s="2" t="str">
        <f t="shared" si="39"/>
        <v>Error?</v>
      </c>
    </row>
    <row r="2601" spans="1:4" x14ac:dyDescent="0.2">
      <c r="A2601" s="5">
        <v>2540</v>
      </c>
      <c r="B2601" s="1825">
        <f>'Acct Summary 7-8'!F20</f>
        <v>-10080</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133064</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133064</v>
      </c>
      <c r="C2606" s="2" t="s">
        <v>569</v>
      </c>
      <c r="D2606" s="2" t="str">
        <f t="shared" si="39"/>
        <v>Error?</v>
      </c>
    </row>
    <row r="2607" spans="1:4" x14ac:dyDescent="0.2">
      <c r="A2607" s="5">
        <v>2546</v>
      </c>
      <c r="B2607" s="1825">
        <f>'Acct Summary 7-8'!G12</f>
        <v>55310</v>
      </c>
      <c r="C2607" s="2" t="s">
        <v>569</v>
      </c>
      <c r="D2607" s="2" t="str">
        <f t="shared" si="39"/>
        <v>Error?</v>
      </c>
    </row>
    <row r="2608" spans="1:4" x14ac:dyDescent="0.2">
      <c r="A2608" s="5">
        <v>2547</v>
      </c>
      <c r="B2608" s="1825">
        <f>'Acct Summary 7-8'!G13</f>
        <v>90835</v>
      </c>
      <c r="C2608" s="2" t="s">
        <v>569</v>
      </c>
      <c r="D2608" s="2" t="str">
        <f t="shared" si="39"/>
        <v>Error?</v>
      </c>
    </row>
    <row r="2609" spans="1:4" x14ac:dyDescent="0.2">
      <c r="A2609" s="5">
        <v>2548</v>
      </c>
      <c r="B2609" s="1825">
        <f>'Acct Summary 7-8'!G14</f>
        <v>24560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170705</v>
      </c>
      <c r="C2612" s="2" t="s">
        <v>569</v>
      </c>
      <c r="D2612" s="2" t="str">
        <f t="shared" si="39"/>
        <v>Error?</v>
      </c>
    </row>
    <row r="2613" spans="1:4" x14ac:dyDescent="0.2">
      <c r="A2613" s="5">
        <v>2552</v>
      </c>
      <c r="B2613" s="1825">
        <f>'Acct Summary 7-8'!G20</f>
        <v>-37641</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108637</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108637</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108712</v>
      </c>
      <c r="C2634" s="2" t="s">
        <v>569</v>
      </c>
      <c r="D2634" s="2" t="str">
        <f t="shared" si="40"/>
        <v>Error?</v>
      </c>
    </row>
    <row r="2635" spans="1:4" x14ac:dyDescent="0.2">
      <c r="A2635" s="5">
        <v>2574</v>
      </c>
      <c r="B2635" s="1825">
        <f>'Acct Summary 7-8'!E17</f>
        <v>108712</v>
      </c>
      <c r="C2635" s="2" t="s">
        <v>569</v>
      </c>
      <c r="D2635" s="2" t="str">
        <f t="shared" si="40"/>
        <v>Error?</v>
      </c>
    </row>
    <row r="2636" spans="1:4" x14ac:dyDescent="0.2">
      <c r="A2636" s="5">
        <v>2575</v>
      </c>
      <c r="B2636" s="1825">
        <f>'Acct Summary 7-8'!E20</f>
        <v>-75</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113424</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113424</v>
      </c>
      <c r="C2658" s="2" t="s">
        <v>569</v>
      </c>
      <c r="D2658" s="2" t="str">
        <f t="shared" si="40"/>
        <v>Error?</v>
      </c>
    </row>
    <row r="2659" spans="1:4" x14ac:dyDescent="0.2">
      <c r="A2659" s="5">
        <v>2598</v>
      </c>
      <c r="B2659" s="1825">
        <f>'Acct Summary 7-8'!H13</f>
        <v>96280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96280</v>
      </c>
      <c r="C2661" s="2" t="s">
        <v>569</v>
      </c>
      <c r="D2661" s="2" t="str">
        <f t="shared" si="40"/>
        <v>Error?</v>
      </c>
    </row>
    <row r="2662" spans="1:4" x14ac:dyDescent="0.2">
      <c r="A2662" s="5">
        <v>2601</v>
      </c>
      <c r="B2662" s="1825">
        <f>'Acct Summary 7-8'!H20</f>
        <v>17144</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1500</v>
      </c>
      <c r="D2718" s="2" t="str">
        <f t="shared" si="41"/>
        <v>Error?</v>
      </c>
    </row>
    <row r="2719" spans="1:4" x14ac:dyDescent="0.2">
      <c r="A2719" s="5">
        <v>2658</v>
      </c>
      <c r="B2719" s="1825">
        <f>'Expenditures 15-22'!D51</f>
        <v>174</v>
      </c>
      <c r="D2719" s="2" t="str">
        <f t="shared" si="41"/>
        <v>Error?</v>
      </c>
    </row>
    <row r="2720" spans="1:4" x14ac:dyDescent="0.2">
      <c r="A2720" s="5">
        <v>2659</v>
      </c>
      <c r="B2720" s="1825">
        <f>'Expenditures 15-22'!E51</f>
        <v>2000</v>
      </c>
      <c r="D2720" s="2" t="str">
        <f t="shared" si="41"/>
        <v>Error?</v>
      </c>
    </row>
    <row r="2721" spans="1:4" x14ac:dyDescent="0.2">
      <c r="A2721" s="5">
        <v>2660</v>
      </c>
      <c r="B2721" s="1825">
        <f>'Expenditures 15-22'!F51</f>
        <v>2981</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6655</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21406</v>
      </c>
      <c r="C2789" s="2" t="s">
        <v>569</v>
      </c>
      <c r="D2789" s="2" t="str">
        <f t="shared" si="42"/>
        <v>Error?</v>
      </c>
    </row>
    <row r="2790" spans="1:4" x14ac:dyDescent="0.2">
      <c r="A2790" s="5">
        <v>2729</v>
      </c>
      <c r="B2790" s="1825">
        <f>'Expenditures 15-22'!E102</f>
        <v>21406</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281431</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64253</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281431</v>
      </c>
      <c r="D2912" s="2" t="str">
        <f t="shared" si="44"/>
        <v>Error?</v>
      </c>
    </row>
    <row r="2913" spans="1:4" x14ac:dyDescent="0.2">
      <c r="A2913" s="5">
        <v>2852</v>
      </c>
      <c r="B2913" s="1825">
        <f>'Assets-Liab 5-6'!I41</f>
        <v>281431</v>
      </c>
      <c r="C2913" s="2" t="s">
        <v>569</v>
      </c>
      <c r="D2913" s="2" t="str">
        <f t="shared" si="44"/>
        <v>Error?</v>
      </c>
    </row>
    <row r="2914" spans="1:4" x14ac:dyDescent="0.2">
      <c r="A2914" s="5">
        <v>2853</v>
      </c>
      <c r="B2914" s="1825">
        <f>'Assets-Liab 5-6'!L33</f>
        <v>64253</v>
      </c>
      <c r="D2914" s="2" t="str">
        <f t="shared" si="44"/>
        <v>Error?</v>
      </c>
    </row>
    <row r="2915" spans="1:4" x14ac:dyDescent="0.2">
      <c r="A2915" s="10">
        <v>2854</v>
      </c>
      <c r="B2915" s="1825"/>
      <c r="D2915" s="2" t="str">
        <f t="shared" si="44"/>
        <v>OK</v>
      </c>
    </row>
    <row r="2916" spans="1:4" x14ac:dyDescent="0.2">
      <c r="A2916" s="5">
        <v>2855</v>
      </c>
      <c r="B2916" s="1825">
        <f>'Assets-Liab 5-6'!L34</f>
        <v>64253</v>
      </c>
      <c r="C2916" s="2" t="s">
        <v>569</v>
      </c>
      <c r="D2916" s="2" t="str">
        <f t="shared" si="44"/>
        <v>Error?</v>
      </c>
    </row>
    <row r="2917" spans="1:4" x14ac:dyDescent="0.2">
      <c r="A2917" s="5">
        <v>2856</v>
      </c>
      <c r="B2917" s="1825">
        <f>'Assets-Liab 5-6'!L41</f>
        <v>64253</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21406</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71496</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21406</v>
      </c>
      <c r="C2973" s="2" t="s">
        <v>569</v>
      </c>
      <c r="D2973" s="2" t="str">
        <f t="shared" si="45"/>
        <v>Error?</v>
      </c>
    </row>
    <row r="2974" spans="1:4" x14ac:dyDescent="0.2">
      <c r="A2974" s="5">
        <v>2913</v>
      </c>
      <c r="B2974" s="1825">
        <f>'Expenditures 15-22'!K79</f>
        <v>71496</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84617</v>
      </c>
      <c r="D3055" s="2" t="str">
        <f t="shared" si="46"/>
        <v>Error?</v>
      </c>
    </row>
    <row r="3056" spans="1:4" x14ac:dyDescent="0.2">
      <c r="A3056" s="5">
        <v>2995</v>
      </c>
      <c r="B3056" s="1825">
        <f>'Expenditures 15-22'!D10</f>
        <v>21187</v>
      </c>
      <c r="D3056" s="2" t="str">
        <f t="shared" si="46"/>
        <v>Error?</v>
      </c>
    </row>
    <row r="3057" spans="1:4" x14ac:dyDescent="0.2">
      <c r="A3057" s="5">
        <v>2996</v>
      </c>
      <c r="B3057" s="1825">
        <f>'Expenditures 15-22'!E10</f>
        <v>3359</v>
      </c>
      <c r="D3057" s="2" t="str">
        <f t="shared" si="46"/>
        <v>Error?</v>
      </c>
    </row>
    <row r="3058" spans="1:4" x14ac:dyDescent="0.2">
      <c r="A3058" s="5">
        <v>2997</v>
      </c>
      <c r="B3058" s="1825">
        <f>'Expenditures 15-22'!F10</f>
        <v>9555</v>
      </c>
      <c r="D3058" s="2" t="str">
        <f t="shared" si="46"/>
        <v>Error?</v>
      </c>
    </row>
    <row r="3059" spans="1:4" x14ac:dyDescent="0.2">
      <c r="A3059" s="5">
        <v>2998</v>
      </c>
      <c r="B3059" s="1825">
        <f>'Expenditures 15-22'!G10</f>
        <v>7118</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125836</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14967</v>
      </c>
      <c r="D3064" s="2" t="str">
        <f t="shared" si="46"/>
        <v>Error?</v>
      </c>
    </row>
    <row r="3065" spans="1:4" x14ac:dyDescent="0.2">
      <c r="A3065" s="5">
        <v>3004</v>
      </c>
      <c r="B3065" s="1825">
        <f>'Expenditures 15-22'!K219</f>
        <v>14967</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12963</v>
      </c>
      <c r="C3225" s="2" t="s">
        <v>569</v>
      </c>
      <c r="D3225" s="2" t="str">
        <f t="shared" si="49"/>
        <v>Error?</v>
      </c>
    </row>
    <row r="3226" spans="1:4" x14ac:dyDescent="0.2">
      <c r="A3226" s="5">
        <v>3165</v>
      </c>
      <c r="B3226" s="1825">
        <f>'Acct Summary 7-8'!I8</f>
        <v>12963</v>
      </c>
      <c r="C3226" s="2" t="s">
        <v>569</v>
      </c>
      <c r="D3226" s="2" t="str">
        <f t="shared" si="49"/>
        <v>Error?</v>
      </c>
    </row>
    <row r="3227" spans="1:4" x14ac:dyDescent="0.2">
      <c r="A3227" s="5">
        <v>3166</v>
      </c>
      <c r="B3227" s="1825">
        <f>'Acct Summary 7-8'!I20</f>
        <v>12963</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5309</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5309</v>
      </c>
      <c r="C3232" s="2" t="s">
        <v>569</v>
      </c>
      <c r="D3232" s="2" t="str">
        <f t="shared" si="49"/>
        <v>Error?</v>
      </c>
    </row>
    <row r="3233" spans="1:4" x14ac:dyDescent="0.2">
      <c r="A3233" s="5">
        <v>3172</v>
      </c>
      <c r="B3233" s="1825">
        <f>'Acct Summary 7-8'!C78</f>
        <v>27669</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15139</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500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500</v>
      </c>
      <c r="C3255" s="2" t="s">
        <v>569</v>
      </c>
      <c r="D3255" s="2" t="str">
        <f t="shared" si="49"/>
        <v>Error?</v>
      </c>
    </row>
    <row r="3256" spans="1:4" x14ac:dyDescent="0.2">
      <c r="A3256" s="5">
        <v>3195</v>
      </c>
      <c r="B3256" s="1825">
        <f>'Acct Summary 7-8'!F78</f>
        <v>-9580</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-37641</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-75</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17144</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12963</v>
      </c>
      <c r="C3320" s="2" t="s">
        <v>569</v>
      </c>
      <c r="D3320" s="2" t="str">
        <f t="shared" si="50"/>
        <v>Error?</v>
      </c>
    </row>
    <row r="3321" spans="1:4" x14ac:dyDescent="0.2">
      <c r="A3321" s="5">
        <v>3260</v>
      </c>
      <c r="B3321" s="1825">
        <f>'Acct Summary 7-8'!I79</f>
        <v>268468</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281431</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289103</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64888</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3182</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3561</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360734</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24353</v>
      </c>
      <c r="D3387" s="2" t="str">
        <f t="shared" si="51"/>
        <v>Error?</v>
      </c>
    </row>
    <row r="3388" spans="1:4" x14ac:dyDescent="0.2">
      <c r="A3388" s="5">
        <v>3327</v>
      </c>
      <c r="B3388" s="1825">
        <f>'Expenditures 15-22'!D217</f>
        <v>8161</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24353</v>
      </c>
      <c r="C3390" s="2" t="s">
        <v>569</v>
      </c>
      <c r="D3390" s="2" t="str">
        <f t="shared" si="51"/>
        <v>Error?</v>
      </c>
    </row>
    <row r="3391" spans="1:4" x14ac:dyDescent="0.2">
      <c r="A3391" s="5">
        <v>3330</v>
      </c>
      <c r="B3391" s="1825">
        <f>'Expenditures 15-22'!K217</f>
        <v>8161</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1933717</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297923</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10558</v>
      </c>
      <c r="D3417" s="2" t="str">
        <f t="shared" si="52"/>
        <v>Error?</v>
      </c>
    </row>
    <row r="3418" spans="1:4" x14ac:dyDescent="0.2">
      <c r="A3418" s="10">
        <v>3357</v>
      </c>
      <c r="B3418" s="1825"/>
      <c r="D3418" s="2" t="str">
        <f t="shared" si="52"/>
        <v>OK</v>
      </c>
    </row>
    <row r="3419" spans="1:4" x14ac:dyDescent="0.2">
      <c r="A3419" s="5">
        <v>3358</v>
      </c>
      <c r="B3419" s="1825">
        <f>'Assets-Liab 5-6'!F4</f>
        <v>361685</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55210</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168218</v>
      </c>
      <c r="D3425" s="2" t="str">
        <f t="shared" si="52"/>
        <v>Error?</v>
      </c>
    </row>
    <row r="3426" spans="1:4" x14ac:dyDescent="0.2">
      <c r="A3426" s="10">
        <v>3365</v>
      </c>
      <c r="B3426" s="1825"/>
      <c r="D3426" s="2" t="str">
        <f t="shared" si="52"/>
        <v>OK</v>
      </c>
    </row>
    <row r="3427" spans="1:4" x14ac:dyDescent="0.2">
      <c r="A3427" s="5">
        <v>3366</v>
      </c>
      <c r="B3427" s="1825">
        <f>'Assets-Liab 5-6'!I4</f>
        <v>281431</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64253</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63491</v>
      </c>
      <c r="C3446" s="2" t="s">
        <v>569</v>
      </c>
      <c r="D3446" s="2" t="str">
        <f t="shared" si="52"/>
        <v>Error?</v>
      </c>
    </row>
    <row r="3447" spans="1:4" x14ac:dyDescent="0.2">
      <c r="A3447" s="5">
        <v>3386</v>
      </c>
      <c r="B3447" s="1825">
        <f>'Tax Sched 23'!D16</f>
        <v>63491</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65406</v>
      </c>
      <c r="C3449" s="2" t="s">
        <v>569</v>
      </c>
      <c r="D3449" s="2" t="str">
        <f t="shared" si="52"/>
        <v>Error?</v>
      </c>
    </row>
    <row r="3450" spans="1:4" x14ac:dyDescent="0.2">
      <c r="A3450" s="5">
        <v>3389</v>
      </c>
      <c r="B3450" s="1825">
        <f>'Tax Sched 23'!E16</f>
        <v>65406</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5309</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500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357105</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357105</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357105</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357105</v>
      </c>
      <c r="C3568" s="2" t="s">
        <v>569</v>
      </c>
      <c r="D3568" s="2" t="str">
        <f t="shared" si="54"/>
        <v>Error?</v>
      </c>
    </row>
    <row r="3569" spans="1:4" x14ac:dyDescent="0.2">
      <c r="A3569" s="5">
        <v>3508</v>
      </c>
      <c r="B3569" s="1825">
        <f>'Acct Summary 7-8'!K4</f>
        <v>10454</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10454</v>
      </c>
      <c r="C3571" s="2" t="s">
        <v>569</v>
      </c>
      <c r="D3571" s="2" t="str">
        <f t="shared" si="54"/>
        <v>Error?</v>
      </c>
    </row>
    <row r="3572" spans="1:4" x14ac:dyDescent="0.2">
      <c r="A3572" s="5">
        <v>3511</v>
      </c>
      <c r="B3572" s="1825">
        <f>'Acct Summary 7-8'!K13</f>
        <v>7458</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7458</v>
      </c>
      <c r="C3575" s="2" t="s">
        <v>569</v>
      </c>
      <c r="D3575" s="2" t="str">
        <f t="shared" si="54"/>
        <v>Error?</v>
      </c>
    </row>
    <row r="3576" spans="1:4" x14ac:dyDescent="0.2">
      <c r="A3576" s="5">
        <v>3515</v>
      </c>
      <c r="B3576" s="1825">
        <f>'Acct Summary 7-8'!K20</f>
        <v>2996</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2996</v>
      </c>
      <c r="C3588" s="2" t="s">
        <v>569</v>
      </c>
      <c r="D3588" s="2" t="str">
        <f t="shared" si="55"/>
        <v>Error?</v>
      </c>
    </row>
    <row r="3589" spans="1:4" x14ac:dyDescent="0.2">
      <c r="A3589" s="5">
        <v>3528</v>
      </c>
      <c r="B3589" s="1825">
        <f>'Acct Summary 7-8'!K79</f>
        <v>354109</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357105</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7458</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7458</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7458</v>
      </c>
      <c r="C3635" s="2" t="s">
        <v>569</v>
      </c>
      <c r="D3635" s="2" t="str">
        <f t="shared" si="55"/>
        <v>Error?</v>
      </c>
    </row>
    <row r="3636" spans="1:4" x14ac:dyDescent="0.2">
      <c r="A3636" s="5">
        <v>3575</v>
      </c>
      <c r="B3636" s="1825">
        <f>'Expenditures 15-22'!E367</f>
        <v>7458</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7458</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7458</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7458</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7458</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2996</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4883</v>
      </c>
      <c r="C3725" s="2" t="s">
        <v>569</v>
      </c>
      <c r="D3725" s="2" t="str">
        <f t="shared" si="57"/>
        <v>Error?</v>
      </c>
    </row>
    <row r="3726" spans="1:4" x14ac:dyDescent="0.2">
      <c r="A3726" s="5">
        <v>3665</v>
      </c>
      <c r="B3726" s="1825">
        <f>'Tax Sched 23'!D13</f>
        <v>4883</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5856</v>
      </c>
      <c r="C3728" s="2" t="s">
        <v>569</v>
      </c>
      <c r="D3728" s="2" t="str">
        <f t="shared" si="57"/>
        <v>Error?</v>
      </c>
    </row>
    <row r="3729" spans="1:4" x14ac:dyDescent="0.2">
      <c r="A3729" s="5">
        <v>3668</v>
      </c>
      <c r="B3729" s="1825">
        <f>'Tax Sched 23'!E13</f>
        <v>5856</v>
      </c>
      <c r="D3729" s="2" t="str">
        <f t="shared" si="57"/>
        <v>Error?</v>
      </c>
    </row>
    <row r="3730" spans="1:4" x14ac:dyDescent="0.2">
      <c r="A3730" s="5">
        <v>3669</v>
      </c>
      <c r="B3730" s="1825">
        <f>'ICR Computation 30'!E10</f>
        <v>115616</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1553523</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5404193</v>
      </c>
      <c r="C4122" s="2" t="s">
        <v>569</v>
      </c>
      <c r="D4122" s="2" t="str">
        <f t="shared" si="63"/>
        <v>Error?</v>
      </c>
    </row>
    <row r="4123" spans="1:4" x14ac:dyDescent="0.2">
      <c r="A4123" s="5">
        <v>4062</v>
      </c>
      <c r="B4123" s="1825">
        <f>'Acct Summary 7-8'!D10</f>
        <v>293333</v>
      </c>
      <c r="C4123" s="2" t="s">
        <v>569</v>
      </c>
      <c r="D4123" s="2" t="str">
        <f t="shared" si="63"/>
        <v>Error?</v>
      </c>
    </row>
    <row r="4124" spans="1:4" x14ac:dyDescent="0.2">
      <c r="A4124" s="5">
        <v>4063</v>
      </c>
      <c r="B4124" s="1825">
        <f>'Acct Summary 7-8'!E10</f>
        <v>108637</v>
      </c>
      <c r="C4124" s="2" t="s">
        <v>569</v>
      </c>
      <c r="D4124" s="2" t="str">
        <f t="shared" si="63"/>
        <v>Error?</v>
      </c>
    </row>
    <row r="4125" spans="1:4" x14ac:dyDescent="0.2">
      <c r="A4125" s="5">
        <v>4064</v>
      </c>
      <c r="B4125" s="1825">
        <f>'Acct Summary 7-8'!F10</f>
        <v>388126</v>
      </c>
      <c r="C4125" s="2" t="s">
        <v>569</v>
      </c>
      <c r="D4125" s="2" t="str">
        <f t="shared" si="63"/>
        <v>Error?</v>
      </c>
    </row>
    <row r="4126" spans="1:4" x14ac:dyDescent="0.2">
      <c r="A4126" s="5">
        <v>4065</v>
      </c>
      <c r="B4126" s="1825">
        <f>'Acct Summary 7-8'!G10</f>
        <v>133064</v>
      </c>
      <c r="C4126" s="2" t="s">
        <v>569</v>
      </c>
      <c r="D4126" s="2" t="str">
        <f t="shared" si="63"/>
        <v>Error?</v>
      </c>
    </row>
    <row r="4127" spans="1:4" x14ac:dyDescent="0.2">
      <c r="A4127" s="5">
        <v>4066</v>
      </c>
      <c r="B4127" s="1825">
        <f>'Acct Summary 7-8'!H10</f>
        <v>113424</v>
      </c>
      <c r="C4127" s="2" t="s">
        <v>569</v>
      </c>
      <c r="D4127" s="2" t="str">
        <f t="shared" si="63"/>
        <v>Error?</v>
      </c>
    </row>
    <row r="4128" spans="1:4" x14ac:dyDescent="0.2">
      <c r="A4128" s="5">
        <v>4067</v>
      </c>
      <c r="B4128" s="1825">
        <f>'Acct Summary 7-8'!I10</f>
        <v>12963</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10454</v>
      </c>
      <c r="C4130" s="2" t="s">
        <v>569</v>
      </c>
      <c r="D4130" s="2" t="str">
        <f t="shared" si="63"/>
        <v>Error?</v>
      </c>
    </row>
    <row r="4131" spans="1:4" x14ac:dyDescent="0.2">
      <c r="A4131" s="5">
        <v>4070</v>
      </c>
      <c r="B4131" s="1825">
        <f>'Acct Summary 7-8'!C18</f>
        <v>1553523</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5381833</v>
      </c>
      <c r="C4136" s="2" t="s">
        <v>569</v>
      </c>
      <c r="D4136" s="2" t="str">
        <f t="shared" si="63"/>
        <v>Error?</v>
      </c>
    </row>
    <row r="4137" spans="1:4" x14ac:dyDescent="0.2">
      <c r="A4137" s="5">
        <v>4076</v>
      </c>
      <c r="B4137" s="1825">
        <f>'Acct Summary 7-8'!D19</f>
        <v>278194</v>
      </c>
      <c r="C4137" s="2" t="s">
        <v>569</v>
      </c>
      <c r="D4137" s="2" t="str">
        <f t="shared" si="63"/>
        <v>Error?</v>
      </c>
    </row>
    <row r="4138" spans="1:4" x14ac:dyDescent="0.2">
      <c r="A4138" s="5">
        <v>4077</v>
      </c>
      <c r="B4138" s="1825">
        <f>'Acct Summary 7-8'!E19</f>
        <v>108712</v>
      </c>
      <c r="C4138" s="2" t="s">
        <v>569</v>
      </c>
      <c r="D4138" s="2" t="str">
        <f t="shared" si="63"/>
        <v>Error?</v>
      </c>
    </row>
    <row r="4139" spans="1:4" x14ac:dyDescent="0.2">
      <c r="A4139" s="5">
        <v>4078</v>
      </c>
      <c r="B4139" s="1825">
        <f>'Acct Summary 7-8'!F19</f>
        <v>398206</v>
      </c>
      <c r="C4139" s="2" t="s">
        <v>569</v>
      </c>
      <c r="D4139" s="2" t="str">
        <f t="shared" si="63"/>
        <v>Error?</v>
      </c>
    </row>
    <row r="4140" spans="1:4" x14ac:dyDescent="0.2">
      <c r="A4140" s="5">
        <v>4079</v>
      </c>
      <c r="B4140" s="1825">
        <f>'Acct Summary 7-8'!G19</f>
        <v>170705</v>
      </c>
      <c r="C4140" s="2" t="s">
        <v>569</v>
      </c>
      <c r="D4140" s="2" t="str">
        <f t="shared" si="63"/>
        <v>Error?</v>
      </c>
    </row>
    <row r="4141" spans="1:4" x14ac:dyDescent="0.2">
      <c r="A4141" s="5">
        <v>4080</v>
      </c>
      <c r="B4141" s="1825">
        <f>'Acct Summary 7-8'!H19</f>
        <v>96280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7458</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660789</v>
      </c>
      <c r="C4171" s="2" t="s">
        <v>569</v>
      </c>
      <c r="D4171" s="2" t="str">
        <f t="shared" si="64"/>
        <v>Error?</v>
      </c>
    </row>
    <row r="4172" spans="1:4" x14ac:dyDescent="0.2">
      <c r="A4172" s="5">
        <v>4111</v>
      </c>
      <c r="B4172" s="1825">
        <f>'Short-Term Long-Term Debt 24'!J49</f>
        <v>650231</v>
      </c>
      <c r="C4172" s="2" t="s">
        <v>569</v>
      </c>
      <c r="D4172" s="2" t="str">
        <f t="shared" si="64"/>
        <v>Error?</v>
      </c>
    </row>
    <row r="4173" spans="1:4" x14ac:dyDescent="0.2">
      <c r="A4173" s="5">
        <v>4112</v>
      </c>
      <c r="B4173" s="1825">
        <f>'Short-Term Long-Term Debt 24'!H49</f>
        <v>131888</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36888</v>
      </c>
      <c r="D4210" s="2" t="str">
        <f t="shared" si="64"/>
        <v>Error?</v>
      </c>
    </row>
    <row r="4211" spans="1:4" x14ac:dyDescent="0.2">
      <c r="A4211" s="5">
        <v>4150</v>
      </c>
      <c r="B4211" s="1825">
        <f>'Expenditures 15-22'!K206</f>
        <v>36888</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2577.7399999999998</v>
      </c>
      <c r="C4265" s="2" t="s">
        <v>569</v>
      </c>
      <c r="D4265" s="2" t="str">
        <f t="shared" si="65"/>
        <v>Error?</v>
      </c>
      <c r="E4265" s="125"/>
    </row>
    <row r="4266" spans="1:5" x14ac:dyDescent="0.2">
      <c r="A4266" s="12">
        <v>4205</v>
      </c>
      <c r="B4266" s="1825">
        <f>('FP Info 3'!F10)*100000</f>
        <v>366</v>
      </c>
      <c r="C4266" s="2" t="s">
        <v>569</v>
      </c>
      <c r="D4266" s="2" t="str">
        <f t="shared" si="65"/>
        <v>Error?</v>
      </c>
      <c r="E4266" s="125"/>
    </row>
    <row r="4267" spans="1:5" x14ac:dyDescent="0.2">
      <c r="A4267" s="12">
        <v>4206</v>
      </c>
      <c r="B4267" s="1825">
        <f>('FP Info 3'!H10)*100000</f>
        <v>436.73</v>
      </c>
      <c r="C4267" s="2" t="s">
        <v>569</v>
      </c>
      <c r="D4267" s="2" t="str">
        <f t="shared" si="65"/>
        <v>Error?</v>
      </c>
      <c r="E4267" s="125"/>
    </row>
    <row r="4268" spans="1:5" x14ac:dyDescent="0.2">
      <c r="A4268" s="12">
        <v>4207</v>
      </c>
      <c r="B4268" s="1825">
        <f>('FP Info 3'!J10)*100000</f>
        <v>3379.9999999999995</v>
      </c>
      <c r="C4268" s="2" t="s">
        <v>569</v>
      </c>
      <c r="D4268" s="2" t="str">
        <f t="shared" si="65"/>
        <v>Error?</v>
      </c>
    </row>
    <row r="4269" spans="1:5" x14ac:dyDescent="0.2">
      <c r="A4269" s="12">
        <v>4208</v>
      </c>
      <c r="B4269" s="1825">
        <f>'FP Info 3'!J16</f>
        <v>5874756</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9829</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28428</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6714</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6714</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1535</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25.569999999999997</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45824657</v>
      </c>
      <c r="D4995" s="2" t="str">
        <f t="shared" si="77"/>
        <v>Error?</v>
      </c>
    </row>
    <row r="4996" spans="1:4" x14ac:dyDescent="0.2">
      <c r="A4996" s="12">
        <v>4935</v>
      </c>
      <c r="B4996" s="1825">
        <f>'FP Info 3'!H31</f>
        <v>6323802.6660000002</v>
      </c>
      <c r="D4996" s="2" t="str">
        <f t="shared" si="77"/>
        <v>Error?</v>
      </c>
    </row>
    <row r="4997" spans="1:4" x14ac:dyDescent="0.2">
      <c r="A4997" s="12">
        <v>4936</v>
      </c>
      <c r="B4997" s="1825">
        <f>'FP Info 3'!H37</f>
        <v>660789</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4883</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1167249</v>
      </c>
      <c r="D5061" s="2" t="str">
        <f t="shared" si="78"/>
        <v>Error?</v>
      </c>
    </row>
    <row r="5062" spans="1:4" x14ac:dyDescent="0.2">
      <c r="A5062" s="10">
        <v>5001</v>
      </c>
      <c r="B5062" s="1825"/>
      <c r="D5062" s="2" t="str">
        <f t="shared" si="78"/>
        <v>OK</v>
      </c>
    </row>
    <row r="5063" spans="1:4" x14ac:dyDescent="0.2">
      <c r="A5063" s="5">
        <v>5002</v>
      </c>
      <c r="B5063" s="1825">
        <f>'Revenues 9-14'!C7</f>
        <v>9767</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1181899</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60058</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60058</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73870</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73870</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3674</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3674</v>
      </c>
      <c r="C5096" s="2" t="s">
        <v>569</v>
      </c>
      <c r="D5096" s="2" t="str">
        <f t="shared" si="78"/>
        <v>Error?</v>
      </c>
    </row>
    <row r="5097" spans="1:4" x14ac:dyDescent="0.2">
      <c r="A5097" s="5">
        <v>5036</v>
      </c>
      <c r="B5097" s="1825">
        <f>'Revenues 9-14'!C77</f>
        <v>1451</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2605</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4056</v>
      </c>
      <c r="C5102" s="2" t="s">
        <v>569</v>
      </c>
      <c r="D5102" s="2" t="str">
        <f t="shared" si="78"/>
        <v>Error?</v>
      </c>
    </row>
    <row r="5103" spans="1:4" x14ac:dyDescent="0.2">
      <c r="A5103" s="5">
        <v>5042</v>
      </c>
      <c r="B5103" s="1825">
        <f>'Revenues 9-14'!C84</f>
        <v>14689</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14689</v>
      </c>
      <c r="C5112" s="2" t="s">
        <v>569</v>
      </c>
      <c r="D5112" s="2" t="str">
        <f t="shared" si="78"/>
        <v>Error?</v>
      </c>
    </row>
    <row r="5113" spans="1:4" x14ac:dyDescent="0.2">
      <c r="A5113" s="5">
        <v>5052</v>
      </c>
      <c r="B5113" s="1825">
        <f>'Revenues 9-14'!C95</f>
        <v>163174</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25479</v>
      </c>
      <c r="D5119" s="2" t="str">
        <f t="shared" ref="D5119:D5182" si="79">IF(ISBLANK(B5119),"OK",IF(A5119-B5119=0,"OK","Error?"))</f>
        <v>Error?</v>
      </c>
    </row>
    <row r="5120" spans="1:4" x14ac:dyDescent="0.2">
      <c r="A5120" s="5">
        <v>5059</v>
      </c>
      <c r="B5120" s="1825">
        <f>'Revenues 9-14'!C108</f>
        <v>188653</v>
      </c>
      <c r="C5120" s="2" t="s">
        <v>569</v>
      </c>
      <c r="D5120" s="2" t="str">
        <f t="shared" si="79"/>
        <v>Error?</v>
      </c>
    </row>
    <row r="5121" spans="1:4" x14ac:dyDescent="0.2">
      <c r="A5121" s="5">
        <v>5060</v>
      </c>
      <c r="B5121" s="1825">
        <f>'Revenues 9-14'!C109</f>
        <v>1526899</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1563638</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1563638</v>
      </c>
      <c r="C5132" s="2" t="s">
        <v>569</v>
      </c>
      <c r="D5132" s="2" t="str">
        <f t="shared" si="79"/>
        <v>Error?</v>
      </c>
    </row>
    <row r="5133" spans="1:4" x14ac:dyDescent="0.2">
      <c r="A5133" s="5">
        <v>5072</v>
      </c>
      <c r="B5133" s="1825">
        <f>'Revenues 9-14'!C125</f>
        <v>51550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7979</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59529</v>
      </c>
      <c r="C5147" s="2" t="s">
        <v>569</v>
      </c>
      <c r="D5147" s="2" t="str">
        <f t="shared" si="79"/>
        <v>Error?</v>
      </c>
    </row>
    <row r="5148" spans="1:4" x14ac:dyDescent="0.2">
      <c r="A5148" s="5">
        <v>5087</v>
      </c>
      <c r="B5148" s="1825">
        <f>'Revenues 9-14'!C134</f>
        <v>4309</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16452</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2003</v>
      </c>
      <c r="D5167" s="2" t="str">
        <f t="shared" si="79"/>
        <v>Error?</v>
      </c>
    </row>
    <row r="5168" spans="1:4" x14ac:dyDescent="0.2">
      <c r="A5168" s="5">
        <v>5107</v>
      </c>
      <c r="B5168" s="1825">
        <f>'Revenues 9-14'!C148</f>
        <v>2683</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345639</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426306</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1989944</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91861</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34834</v>
      </c>
      <c r="D5241" s="2" t="str">
        <f t="shared" si="80"/>
        <v>Error?</v>
      </c>
    </row>
    <row r="5242" spans="1:4" x14ac:dyDescent="0.2">
      <c r="A5242" s="5">
        <v>5181</v>
      </c>
      <c r="B5242" s="1825">
        <f>'Revenues 9-14'!C194</f>
        <v>0</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126695</v>
      </c>
      <c r="C5246" s="2" t="s">
        <v>569</v>
      </c>
      <c r="D5246" s="2" t="str">
        <f t="shared" si="80"/>
        <v>Error?</v>
      </c>
    </row>
    <row r="5247" spans="1:4" x14ac:dyDescent="0.2">
      <c r="A5247" s="5">
        <v>5186</v>
      </c>
      <c r="B5247" s="1825">
        <f>'Revenues 9-14'!C200</f>
        <v>142474</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142474</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13981</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13981</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4171</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4171</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333827</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333827</v>
      </c>
      <c r="C5326" s="2" t="s">
        <v>569</v>
      </c>
      <c r="D5326" s="2" t="str">
        <f t="shared" si="82"/>
        <v>Error?</v>
      </c>
    </row>
    <row r="5327" spans="1:5" x14ac:dyDescent="0.2">
      <c r="A5327" s="5">
        <v>5266</v>
      </c>
      <c r="B5327" s="1825">
        <f>'Revenues 9-14'!C268</f>
        <v>3850670</v>
      </c>
      <c r="C5327" s="2" t="s">
        <v>569</v>
      </c>
      <c r="D5327" s="2" t="str">
        <f t="shared" si="82"/>
        <v>Error?</v>
      </c>
    </row>
    <row r="5328" spans="1:5" x14ac:dyDescent="0.2">
      <c r="A5328" s="5">
        <v>5267</v>
      </c>
      <c r="B5328" s="1825">
        <f>'Revenues 9-14'!D5</f>
        <v>151399</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151399</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8000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8000</v>
      </c>
      <c r="C5339" s="2" t="s">
        <v>569</v>
      </c>
      <c r="D5339" s="2" t="str">
        <f t="shared" si="82"/>
        <v>Error?</v>
      </c>
    </row>
    <row r="5340" spans="1:4" x14ac:dyDescent="0.2">
      <c r="A5340" s="5">
        <v>5279</v>
      </c>
      <c r="B5340" s="1825">
        <f>'Revenues 9-14'!D65</f>
        <v>21474</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21474</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10000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52460</v>
      </c>
      <c r="D5354" s="2" t="str">
        <f t="shared" si="82"/>
        <v>Error?</v>
      </c>
    </row>
    <row r="5355" spans="1:4" x14ac:dyDescent="0.2">
      <c r="A5355" s="5">
        <v>5294</v>
      </c>
      <c r="B5355" s="1825">
        <f>'Revenues 9-14'!D108</f>
        <v>62460</v>
      </c>
      <c r="C5355" s="2" t="s">
        <v>569</v>
      </c>
      <c r="D5355" s="2" t="str">
        <f t="shared" si="82"/>
        <v>Error?</v>
      </c>
    </row>
    <row r="5356" spans="1:4" x14ac:dyDescent="0.2">
      <c r="A5356" s="5">
        <v>5295</v>
      </c>
      <c r="B5356" s="1825">
        <f>'Revenues 9-14'!D109</f>
        <v>243333</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50000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50000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50000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293333</v>
      </c>
      <c r="C5508" s="2" t="s">
        <v>569</v>
      </c>
      <c r="D5508" s="2" t="str">
        <f t="shared" si="85"/>
        <v>Error?</v>
      </c>
    </row>
    <row r="5509" spans="1:4" x14ac:dyDescent="0.2">
      <c r="A5509" s="5">
        <v>5448</v>
      </c>
      <c r="B5509" s="1825">
        <f>'Revenues 9-14'!E5</f>
        <v>108637</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108637</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108637</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108637</v>
      </c>
      <c r="C5552" s="2" t="s">
        <v>569</v>
      </c>
      <c r="D5552" s="2" t="str">
        <f t="shared" si="85"/>
        <v>Error?</v>
      </c>
    </row>
    <row r="5553" spans="1:4" x14ac:dyDescent="0.2">
      <c r="A5553" s="5">
        <v>5492</v>
      </c>
      <c r="B5553" s="1825">
        <f>'Revenues 9-14'!F5</f>
        <v>190474</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190474</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2260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2260</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226</v>
      </c>
      <c r="D5586" s="2" t="str">
        <f t="shared" si="86"/>
        <v>Error?</v>
      </c>
    </row>
    <row r="5587" spans="1:4" x14ac:dyDescent="0.2">
      <c r="A5587" s="5">
        <v>5526</v>
      </c>
      <c r="B5587" s="1825">
        <f>'Revenues 9-14'!F108</f>
        <v>226</v>
      </c>
      <c r="C5587" s="2" t="s">
        <v>569</v>
      </c>
      <c r="D5587" s="2" t="str">
        <f t="shared" si="86"/>
        <v>Error?</v>
      </c>
    </row>
    <row r="5588" spans="1:4" x14ac:dyDescent="0.2">
      <c r="A5588" s="5">
        <v>5527</v>
      </c>
      <c r="B5588" s="1825">
        <f>'Revenues 9-14'!F109</f>
        <v>192960</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86208</v>
      </c>
      <c r="D5615" s="2" t="str">
        <f t="shared" si="86"/>
        <v>Error?</v>
      </c>
    </row>
    <row r="5616" spans="1:4" x14ac:dyDescent="0.2">
      <c r="A5616" s="10">
        <v>5555</v>
      </c>
      <c r="B5616" s="1825"/>
      <c r="D5616" s="2" t="str">
        <f t="shared" si="86"/>
        <v>OK</v>
      </c>
    </row>
    <row r="5617" spans="1:5" x14ac:dyDescent="0.2">
      <c r="A5617" s="5">
        <v>5556</v>
      </c>
      <c r="B5617" s="1825">
        <f>'Revenues 9-14'!F153</f>
        <v>108958</v>
      </c>
      <c r="D5617" s="2" t="str">
        <f t="shared" si="86"/>
        <v>Error?</v>
      </c>
    </row>
    <row r="5618" spans="1:5" x14ac:dyDescent="0.2">
      <c r="A5618" s="5">
        <v>5557</v>
      </c>
      <c r="B5618" s="1825">
        <f>'Revenues 9-14'!F155</f>
        <v>195166</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195166</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195166</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388126</v>
      </c>
      <c r="C5720" s="2" t="s">
        <v>569</v>
      </c>
      <c r="D5720" s="2" t="str">
        <f t="shared" si="88"/>
        <v>Error?</v>
      </c>
    </row>
    <row r="5721" spans="1:4" x14ac:dyDescent="0.2">
      <c r="A5721" s="5">
        <v>5660</v>
      </c>
      <c r="B5721" s="1825">
        <f>'Revenues 9-14'!G5</f>
        <v>63491</v>
      </c>
      <c r="D5721" s="2" t="str">
        <f t="shared" si="88"/>
        <v>Error?</v>
      </c>
    </row>
    <row r="5722" spans="1:4" x14ac:dyDescent="0.2">
      <c r="A5722" s="5">
        <v>5661</v>
      </c>
      <c r="B5722" s="1825">
        <f>'Revenues 9-14'!G7</f>
        <v>0</v>
      </c>
      <c r="D5722" s="2" t="str">
        <f t="shared" si="88"/>
        <v>Error?</v>
      </c>
    </row>
    <row r="5723" spans="1:4" x14ac:dyDescent="0.2">
      <c r="A5723" s="5">
        <v>5662</v>
      </c>
      <c r="B5723" s="1825">
        <f>'Revenues 9-14'!G8</f>
        <v>63491</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126982</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5300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5300</v>
      </c>
      <c r="C5730" s="2" t="s">
        <v>569</v>
      </c>
      <c r="D5730" s="2" t="str">
        <f t="shared" si="88"/>
        <v>Error?</v>
      </c>
    </row>
    <row r="5731" spans="1:4" x14ac:dyDescent="0.2">
      <c r="A5731" s="5">
        <v>5670</v>
      </c>
      <c r="B5731" s="1825">
        <f>'Revenues 9-14'!G65</f>
        <v>782</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782</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133064</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1060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1060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112364</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113424</v>
      </c>
      <c r="C5915" s="2" t="s">
        <v>569</v>
      </c>
      <c r="D5915" s="2" t="str">
        <f t="shared" si="91"/>
        <v>Error?</v>
      </c>
    </row>
    <row r="5916" spans="1:4" x14ac:dyDescent="0.2">
      <c r="A5916" s="5">
        <v>5855</v>
      </c>
      <c r="B5916" s="1825">
        <f>'Revenues 9-14'!I5</f>
        <v>11231</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11231</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1732</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1732</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12963</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7622</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7622</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2832</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2832</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10454</v>
      </c>
      <c r="C6023" s="2" t="s">
        <v>569</v>
      </c>
      <c r="D6023" s="2" t="str">
        <f t="shared" si="93"/>
        <v>Error?</v>
      </c>
    </row>
    <row r="6024" spans="1:5" x14ac:dyDescent="0.2">
      <c r="A6024" s="5">
        <v>5963</v>
      </c>
      <c r="B6024" s="1825">
        <f>'Revenues 9-14'!G109</f>
        <v>133064</v>
      </c>
      <c r="C6024" s="2" t="s">
        <v>569</v>
      </c>
      <c r="D6024" s="2" t="str">
        <f t="shared" si="93"/>
        <v>Error?</v>
      </c>
    </row>
    <row r="6025" spans="1:5" x14ac:dyDescent="0.2">
      <c r="A6025" s="5">
        <v>5964</v>
      </c>
      <c r="B6025" s="1825">
        <f>'Revenues 9-14'!H109</f>
        <v>113424</v>
      </c>
      <c r="C6025" s="2" t="s">
        <v>569</v>
      </c>
      <c r="D6025" s="2" t="str">
        <f t="shared" si="93"/>
        <v>Error?</v>
      </c>
    </row>
    <row r="6026" spans="1:5" x14ac:dyDescent="0.2">
      <c r="A6026" s="5">
        <v>5965</v>
      </c>
      <c r="B6026" s="1825">
        <f>'Revenues 9-14'!I109</f>
        <v>12963</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10454</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15838</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332.4</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58273</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58273</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58273</v>
      </c>
      <c r="D6216" s="2" t="str">
        <f t="shared" si="96"/>
        <v>Error?</v>
      </c>
      <c r="E6216" s="2" t="s">
        <v>189</v>
      </c>
    </row>
    <row r="6217" spans="1:5" x14ac:dyDescent="0.2">
      <c r="A6217">
        <v>6156</v>
      </c>
      <c r="B6217" s="1825">
        <f>'Assets-Liab 5-6'!J4</f>
        <v>58273</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80989</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80989</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80989</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75320</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75320</v>
      </c>
      <c r="D6229" s="2" t="str">
        <f t="shared" si="96"/>
        <v>Error?</v>
      </c>
      <c r="E6229" s="2" t="s">
        <v>189</v>
      </c>
    </row>
    <row r="6230" spans="1:5" x14ac:dyDescent="0.2">
      <c r="A6230">
        <v>6169</v>
      </c>
      <c r="B6230" s="1825">
        <f>'Acct Summary 7-8'!J20</f>
        <v>5669</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5669</v>
      </c>
      <c r="D6263" s="2" t="str">
        <f t="shared" si="96"/>
        <v>Error?</v>
      </c>
      <c r="E6263" s="2" t="s">
        <v>189</v>
      </c>
    </row>
    <row r="6264" spans="1:5" x14ac:dyDescent="0.2">
      <c r="A6264">
        <v>6203</v>
      </c>
      <c r="B6264" s="1825">
        <f>'Acct Summary 7-8'!J79</f>
        <v>52604</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58273</v>
      </c>
      <c r="D6266" s="2" t="str">
        <f t="shared" si="96"/>
        <v>Error?</v>
      </c>
      <c r="E6266" s="2" t="s">
        <v>189</v>
      </c>
    </row>
    <row r="6267" spans="1:5" x14ac:dyDescent="0.2">
      <c r="A6267">
        <v>6206</v>
      </c>
      <c r="B6267" s="1825">
        <f>'Acct Summary 7-8'!C82</f>
        <v>27669</v>
      </c>
      <c r="D6267" s="2" t="str">
        <f t="shared" si="96"/>
        <v>Error?</v>
      </c>
      <c r="E6267" s="2" t="s">
        <v>189</v>
      </c>
    </row>
    <row r="6268" spans="1:5" x14ac:dyDescent="0.2">
      <c r="A6268">
        <v>6207</v>
      </c>
      <c r="B6268" s="1825">
        <f>'Acct Summary 7-8'!D82</f>
        <v>15139</v>
      </c>
      <c r="D6268" s="2" t="str">
        <f t="shared" si="96"/>
        <v>Error?</v>
      </c>
      <c r="E6268" s="2" t="s">
        <v>189</v>
      </c>
    </row>
    <row r="6269" spans="1:5" x14ac:dyDescent="0.2">
      <c r="A6269">
        <v>6208</v>
      </c>
      <c r="B6269" s="1825">
        <f>'Acct Summary 7-8'!E82</f>
        <v>-75</v>
      </c>
      <c r="D6269" s="2" t="str">
        <f t="shared" si="96"/>
        <v>Error?</v>
      </c>
      <c r="E6269" s="2" t="s">
        <v>189</v>
      </c>
    </row>
    <row r="6270" spans="1:5" x14ac:dyDescent="0.2">
      <c r="A6270">
        <v>6209</v>
      </c>
      <c r="B6270" s="1825">
        <f>'Acct Summary 7-8'!F82</f>
        <v>-9580</v>
      </c>
      <c r="D6270" s="2" t="str">
        <f t="shared" si="96"/>
        <v>Error?</v>
      </c>
      <c r="E6270" s="2" t="s">
        <v>189</v>
      </c>
    </row>
    <row r="6271" spans="1:5" x14ac:dyDescent="0.2">
      <c r="A6271">
        <v>6210</v>
      </c>
      <c r="B6271" s="1825">
        <f>'Acct Summary 7-8'!G82</f>
        <v>-37641</v>
      </c>
      <c r="D6271" s="2" t="str">
        <f t="shared" ref="D6271:D6334" si="97">IF(ISBLANK(B6271),"OK",IF(A6271-B6271=0,"OK","Error?"))</f>
        <v>Error?</v>
      </c>
      <c r="E6271" s="2" t="s">
        <v>189</v>
      </c>
    </row>
    <row r="6272" spans="1:5" x14ac:dyDescent="0.2">
      <c r="A6272">
        <v>6211</v>
      </c>
      <c r="B6272" s="1825">
        <f>'Acct Summary 7-8'!H82</f>
        <v>17144</v>
      </c>
      <c r="D6272" s="2" t="str">
        <f t="shared" si="97"/>
        <v>Error?</v>
      </c>
      <c r="E6272" s="2" t="s">
        <v>189</v>
      </c>
    </row>
    <row r="6273" spans="1:5" x14ac:dyDescent="0.2">
      <c r="A6273">
        <v>6212</v>
      </c>
      <c r="B6273" s="1825">
        <f>'Acct Summary 7-8'!I82</f>
        <v>12963</v>
      </c>
      <c r="D6273" s="2" t="str">
        <f t="shared" si="97"/>
        <v>Error?</v>
      </c>
      <c r="E6273" s="2" t="s">
        <v>189</v>
      </c>
    </row>
    <row r="6274" spans="1:5" x14ac:dyDescent="0.2">
      <c r="A6274">
        <v>6213</v>
      </c>
      <c r="B6274" s="1825">
        <f>'Acct Summary 7-8'!J82</f>
        <v>5669</v>
      </c>
      <c r="D6274" s="2" t="str">
        <f t="shared" si="97"/>
        <v>Error?</v>
      </c>
      <c r="E6274" s="2" t="s">
        <v>189</v>
      </c>
    </row>
    <row r="6275" spans="1:5" x14ac:dyDescent="0.2">
      <c r="A6275">
        <v>6214</v>
      </c>
      <c r="B6275" s="1825">
        <f>'Acct Summary 7-8'!K82</f>
        <v>2996</v>
      </c>
      <c r="D6275" s="2" t="str">
        <f t="shared" si="97"/>
        <v>Error?</v>
      </c>
      <c r="E6275" s="2" t="s">
        <v>189</v>
      </c>
    </row>
    <row r="6276" spans="1:5" x14ac:dyDescent="0.2">
      <c r="A6276">
        <v>6215</v>
      </c>
      <c r="B6276" s="1825">
        <f>'Acct Summary 7-8'!C83</f>
        <v>6.6134970410283486E-3</v>
      </c>
      <c r="D6276" s="2" t="str">
        <f t="shared" si="97"/>
        <v>Error?</v>
      </c>
      <c r="E6276" s="2" t="s">
        <v>189</v>
      </c>
    </row>
    <row r="6277" spans="1:5" x14ac:dyDescent="0.2">
      <c r="A6277">
        <v>6216</v>
      </c>
      <c r="B6277" s="1825">
        <f>'Acct Summary 7-8'!D83</f>
        <v>1.4446672131444772E-2</v>
      </c>
      <c r="D6277" s="2" t="str">
        <f t="shared" si="97"/>
        <v>Error?</v>
      </c>
      <c r="E6277" s="2" t="s">
        <v>189</v>
      </c>
    </row>
    <row r="6278" spans="1:5" x14ac:dyDescent="0.2">
      <c r="A6278">
        <v>6217</v>
      </c>
      <c r="B6278" s="1825">
        <f>'Acct Summary 7-8'!E83</f>
        <v>-7.103618109490434E-3</v>
      </c>
      <c r="D6278" s="2" t="str">
        <f t="shared" si="97"/>
        <v>Error?</v>
      </c>
      <c r="E6278" s="2" t="s">
        <v>189</v>
      </c>
    </row>
    <row r="6279" spans="1:5" x14ac:dyDescent="0.2">
      <c r="A6279">
        <v>6218</v>
      </c>
      <c r="B6279" s="1825">
        <f>'Acct Summary 7-8'!F83</f>
        <v>-2.6487136596762377E-2</v>
      </c>
      <c r="D6279" s="2" t="str">
        <f t="shared" si="97"/>
        <v>Error?</v>
      </c>
      <c r="E6279" s="2" t="s">
        <v>189</v>
      </c>
    </row>
    <row r="6280" spans="1:5" x14ac:dyDescent="0.2">
      <c r="A6280">
        <v>6219</v>
      </c>
      <c r="B6280" s="1825">
        <f>'Acct Summary 7-8'!G83</f>
        <v>-0.68177866328563663</v>
      </c>
      <c r="D6280" s="2" t="str">
        <f t="shared" si="97"/>
        <v>Error?</v>
      </c>
      <c r="E6280" s="2" t="s">
        <v>189</v>
      </c>
    </row>
    <row r="6281" spans="1:5" x14ac:dyDescent="0.2">
      <c r="A6281">
        <v>6220</v>
      </c>
      <c r="B6281" s="1825">
        <f>'Acct Summary 7-8'!H83</f>
        <v>0.10191537172002996</v>
      </c>
      <c r="D6281" s="2" t="str">
        <f t="shared" si="97"/>
        <v>Error?</v>
      </c>
      <c r="E6281" s="2" t="s">
        <v>189</v>
      </c>
    </row>
    <row r="6282" spans="1:5" x14ac:dyDescent="0.2">
      <c r="A6282">
        <v>6221</v>
      </c>
      <c r="B6282" s="1825">
        <f>'Acct Summary 7-8'!I83</f>
        <v>4.6061023838880576E-2</v>
      </c>
      <c r="D6282" s="2" t="str">
        <f t="shared" si="97"/>
        <v>Error?</v>
      </c>
      <c r="E6282" s="2" t="s">
        <v>189</v>
      </c>
    </row>
    <row r="6283" spans="1:5" x14ac:dyDescent="0.2">
      <c r="A6283">
        <v>6222</v>
      </c>
      <c r="B6283" s="1825">
        <f>'Acct Summary 7-8'!J83</f>
        <v>9.7283476052374168E-2</v>
      </c>
      <c r="D6283" s="2" t="str">
        <f t="shared" si="97"/>
        <v>Error?</v>
      </c>
      <c r="E6283" s="2" t="s">
        <v>189</v>
      </c>
    </row>
    <row r="6284" spans="1:5" x14ac:dyDescent="0.2">
      <c r="A6284">
        <v>6223</v>
      </c>
      <c r="B6284" s="1825">
        <f>'Acct Summary 7-8'!K83</f>
        <v>8.3896893070665498E-3</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73258</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73258</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371</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371</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7360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7360</v>
      </c>
      <c r="D6351" s="2" t="str">
        <f t="shared" si="98"/>
        <v>Error?</v>
      </c>
      <c r="E6351" s="2" t="s">
        <v>189</v>
      </c>
    </row>
    <row r="6352" spans="1:5" x14ac:dyDescent="0.2">
      <c r="A6352">
        <v>6291</v>
      </c>
      <c r="B6352" s="1825">
        <f>'Revenues 9-14'!J109</f>
        <v>80989</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12143</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62849</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87760</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34689</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89484</v>
      </c>
      <c r="D6880" s="2" t="str">
        <f t="shared" si="106"/>
        <v>Error?</v>
      </c>
    </row>
    <row r="6881" spans="1:4" x14ac:dyDescent="0.2">
      <c r="A6881">
        <v>6820</v>
      </c>
      <c r="B6881" s="1825">
        <f>'Expenditures 15-22'!K22</f>
        <v>89484</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75320</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80989</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4870</v>
      </c>
      <c r="D7073" s="2" t="str">
        <f t="shared" si="109"/>
        <v>Error?</v>
      </c>
    </row>
    <row r="7074" spans="1:4" x14ac:dyDescent="0.2">
      <c r="A7074">
        <v>7013</v>
      </c>
      <c r="B7074" s="1825">
        <f>'Expenditures 15-22'!K216</f>
        <v>4870</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344</v>
      </c>
      <c r="D7079" s="2" t="str">
        <f t="shared" si="109"/>
        <v>Error?</v>
      </c>
    </row>
    <row r="7080" spans="1:4" x14ac:dyDescent="0.2">
      <c r="A7080">
        <v>7019</v>
      </c>
      <c r="B7080" s="1825">
        <f>'Expenditures 15-22'!K226</f>
        <v>344</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13989</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13989</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39197</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39197</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19456</v>
      </c>
      <c r="D7156" s="2" t="str">
        <f t="shared" si="110"/>
        <v>Error?</v>
      </c>
    </row>
    <row r="7157" spans="1:4" x14ac:dyDescent="0.2">
      <c r="A7157">
        <v>7096</v>
      </c>
      <c r="B7157" s="1825">
        <f>'Expenditures 15-22'!F323</f>
        <v>1046</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20502</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1632</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1632</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74274</v>
      </c>
      <c r="D7201" s="2" t="str">
        <f t="shared" si="111"/>
        <v>Error?</v>
      </c>
    </row>
    <row r="7202" spans="1:4" x14ac:dyDescent="0.2">
      <c r="A7202">
        <v>7141</v>
      </c>
      <c r="B7202" s="1825">
        <f>'Expenditures 15-22'!F330</f>
        <v>1046</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75320</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74274</v>
      </c>
      <c r="D7218" s="2" t="str">
        <f t="shared" si="111"/>
        <v>Error?</v>
      </c>
    </row>
    <row r="7219" spans="1:4" x14ac:dyDescent="0.2">
      <c r="A7219">
        <v>7158</v>
      </c>
      <c r="B7219" s="1825">
        <f>'Expenditures 15-22'!F342</f>
        <v>1046</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75320</v>
      </c>
      <c r="D7224" s="2" t="str">
        <f t="shared" si="111"/>
        <v>Error?</v>
      </c>
    </row>
    <row r="7225" spans="1:4" x14ac:dyDescent="0.2">
      <c r="A7225">
        <v>7164</v>
      </c>
      <c r="B7225" s="1825">
        <f>'Expenditures 15-22'!K343</f>
        <v>5669</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19393</v>
      </c>
      <c r="D7246" s="2" t="str">
        <f t="shared" si="112"/>
        <v>Error?</v>
      </c>
    </row>
    <row r="7247" spans="1:4" x14ac:dyDescent="0.2">
      <c r="A7247">
        <f t="shared" si="113"/>
        <v>7186</v>
      </c>
      <c r="B7247" s="1825">
        <f>'Expenditures 15-22'!E7</f>
        <v>858</v>
      </c>
      <c r="D7247" s="2" t="str">
        <f t="shared" si="112"/>
        <v>Error?</v>
      </c>
    </row>
    <row r="7248" spans="1:4" x14ac:dyDescent="0.2">
      <c r="A7248">
        <f t="shared" si="113"/>
        <v>7187</v>
      </c>
      <c r="B7248" s="1825">
        <f>'Expenditures 15-22'!F7</f>
        <v>2921</v>
      </c>
      <c r="D7248" s="2" t="str">
        <f t="shared" si="112"/>
        <v>Error?</v>
      </c>
    </row>
    <row r="7249" spans="1:4" x14ac:dyDescent="0.2">
      <c r="A7249">
        <f t="shared" si="113"/>
        <v>7188</v>
      </c>
      <c r="B7249" s="1825">
        <f>'Expenditures 15-22'!G7</f>
        <v>1739</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23428</v>
      </c>
      <c r="D7263" s="2" t="str">
        <f t="shared" si="112"/>
        <v>Error?</v>
      </c>
    </row>
    <row r="7264" spans="1:4" x14ac:dyDescent="0.2">
      <c r="A7264">
        <f t="shared" si="113"/>
        <v>7203</v>
      </c>
      <c r="B7264" s="1825">
        <f>'Expenditures 15-22'!D17</f>
        <v>8726</v>
      </c>
      <c r="D7264" s="2" t="str">
        <f t="shared" si="112"/>
        <v>Error?</v>
      </c>
    </row>
    <row r="7265" spans="1:5" x14ac:dyDescent="0.2">
      <c r="A7265">
        <f t="shared" si="113"/>
        <v>7204</v>
      </c>
      <c r="B7265" s="1825">
        <f>'Expenditures 15-22'!E17</f>
        <v>2535</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220962</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151074</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1060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112364</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113424</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9767</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96280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96280</v>
      </c>
      <c r="D7730" s="2" t="str">
        <f t="shared" si="126"/>
        <v>Error?</v>
      </c>
      <c r="E7730" s="2" t="s">
        <v>822</v>
      </c>
    </row>
    <row r="7731" spans="1:6" x14ac:dyDescent="0.2">
      <c r="A7731">
        <v>7670</v>
      </c>
      <c r="B7731" s="1825">
        <f>'Revenues 9-14'!H103</f>
        <v>112364</v>
      </c>
      <c r="D7731" s="2" t="str">
        <f t="shared" si="126"/>
        <v>Error?</v>
      </c>
      <c r="E7731" s="2" t="s">
        <v>822</v>
      </c>
    </row>
    <row r="7732" spans="1:6" x14ac:dyDescent="0.2">
      <c r="A7732">
        <v>7671</v>
      </c>
      <c r="B7732" s="1825">
        <f>'Rest Tax Levies-Tort Im 25'!J24</f>
        <v>168218</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168218</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0</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1122677</v>
      </c>
      <c r="D7817" s="2" t="str">
        <f t="shared" si="128"/>
        <v>Error?</v>
      </c>
      <c r="E7817" s="4" t="s">
        <v>1969</v>
      </c>
    </row>
    <row r="7818" spans="1:5" x14ac:dyDescent="0.2">
      <c r="A7818">
        <v>7757</v>
      </c>
      <c r="B7818" s="1825">
        <f>'PCTC-OEPP 27-28'!F172</f>
        <v>135071</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4859447</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86021</v>
      </c>
      <c r="D7826" s="2" t="str">
        <f t="shared" si="129"/>
        <v>Error?</v>
      </c>
      <c r="E7826" s="4" t="s">
        <v>2001</v>
      </c>
    </row>
    <row r="7827" spans="1:5" x14ac:dyDescent="0.2">
      <c r="A7827">
        <v>7766</v>
      </c>
      <c r="B7827" s="1825">
        <f>'PCTC-OEPP 27-28'!F35</f>
        <v>0</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181420</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775809</v>
      </c>
      <c r="D7834" s="2" t="str">
        <f t="shared" si="129"/>
        <v>Error?</v>
      </c>
      <c r="E7834" s="4" t="s">
        <v>2001</v>
      </c>
    </row>
    <row r="7835" spans="1:5" x14ac:dyDescent="0.2">
      <c r="A7835">
        <v>7774</v>
      </c>
      <c r="B7835" s="1825">
        <f>'PCTC-OEPP 27-28'!F78</f>
        <v>4083638</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12285.312876052949</v>
      </c>
      <c r="D7837" s="2" t="str">
        <f t="shared" si="129"/>
        <v>Error?</v>
      </c>
      <c r="E7837" s="4" t="s">
        <v>2001</v>
      </c>
    </row>
    <row r="7838" spans="1:5" x14ac:dyDescent="0.2">
      <c r="A7838">
        <v>7777</v>
      </c>
      <c r="B7838" s="1825">
        <f>'PCTC-OEPP 27-28'!F96</f>
        <v>4056</v>
      </c>
      <c r="D7838" s="2" t="str">
        <f t="shared" si="129"/>
        <v>Error?</v>
      </c>
      <c r="E7838" s="4" t="s">
        <v>2001</v>
      </c>
    </row>
    <row r="7839" spans="1:5" x14ac:dyDescent="0.2">
      <c r="A7839">
        <v>7778</v>
      </c>
      <c r="B7839" s="1825">
        <f>'PCTC-OEPP 27-28'!F102</f>
        <v>173174</v>
      </c>
      <c r="D7839" s="2" t="str">
        <f t="shared" si="129"/>
        <v>Error?</v>
      </c>
      <c r="E7839" s="4" t="s">
        <v>2001</v>
      </c>
    </row>
    <row r="7840" spans="1:5" x14ac:dyDescent="0.2">
      <c r="A7840">
        <v>7779</v>
      </c>
      <c r="B7840" s="1825">
        <f>'PCTC-OEPP 27-28'!F103</f>
        <v>0</v>
      </c>
      <c r="D7840" s="2" t="str">
        <f t="shared" si="129"/>
        <v>Error?</v>
      </c>
      <c r="E7840" s="4" t="s">
        <v>2001</v>
      </c>
    </row>
    <row r="7841" spans="1:5" x14ac:dyDescent="0.2">
      <c r="A7841">
        <v>7780</v>
      </c>
      <c r="B7841" s="1825">
        <f>'PCTC-OEPP 27-28'!F104</f>
        <v>0</v>
      </c>
      <c r="D7841" s="2" t="str">
        <f t="shared" si="129"/>
        <v>Error?</v>
      </c>
      <c r="E7841" s="4" t="s">
        <v>2001</v>
      </c>
    </row>
    <row r="7842" spans="1:5" x14ac:dyDescent="0.2">
      <c r="A7842">
        <v>7781</v>
      </c>
      <c r="B7842" s="1825">
        <f>'PCTC-OEPP 27-28'!F106</f>
        <v>59529</v>
      </c>
      <c r="D7842" s="2" t="str">
        <f t="shared" si="129"/>
        <v>Error?</v>
      </c>
      <c r="E7842" s="4" t="s">
        <v>2001</v>
      </c>
    </row>
    <row r="7843" spans="1:5" x14ac:dyDescent="0.2">
      <c r="A7843">
        <v>7782</v>
      </c>
      <c r="B7843" s="1825">
        <f>'PCTC-OEPP 27-28'!F107</f>
        <v>16452</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2683</v>
      </c>
      <c r="D7846" s="2" t="str">
        <f t="shared" si="129"/>
        <v>Error?</v>
      </c>
      <c r="E7846" s="4" t="s">
        <v>2001</v>
      </c>
    </row>
    <row r="7847" spans="1:5" x14ac:dyDescent="0.2">
      <c r="A7847">
        <v>7786</v>
      </c>
      <c r="B7847" s="1825">
        <f>'PCTC-OEPP 27-28'!F112</f>
        <v>195166</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0</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6714</v>
      </c>
      <c r="D7857" s="2" t="str">
        <f t="shared" si="129"/>
        <v>Error?</v>
      </c>
      <c r="E7857" s="4" t="s">
        <v>2001</v>
      </c>
    </row>
    <row r="7858" spans="1:5" x14ac:dyDescent="0.2">
      <c r="A7858">
        <v>7797</v>
      </c>
      <c r="B7858" s="1825">
        <f>'PCTC-OEPP 27-28'!F126</f>
        <v>126695</v>
      </c>
      <c r="D7858" s="2" t="str">
        <f t="shared" si="129"/>
        <v>Error?</v>
      </c>
      <c r="E7858" s="4" t="s">
        <v>2001</v>
      </c>
    </row>
    <row r="7859" spans="1:5" x14ac:dyDescent="0.2">
      <c r="A7859">
        <v>7798</v>
      </c>
      <c r="B7859" s="1825">
        <f>'PCTC-OEPP 27-28'!F127</f>
        <v>142474</v>
      </c>
      <c r="D7859" s="2" t="str">
        <f t="shared" si="129"/>
        <v>Error?</v>
      </c>
      <c r="E7859" s="4" t="s">
        <v>2001</v>
      </c>
    </row>
    <row r="7860" spans="1:5" x14ac:dyDescent="0.2">
      <c r="A7860">
        <v>7799</v>
      </c>
      <c r="B7860" s="1825">
        <f>'PCTC-OEPP 27-28'!F128</f>
        <v>0</v>
      </c>
      <c r="D7860" s="2" t="str">
        <f t="shared" si="129"/>
        <v>Error?</v>
      </c>
      <c r="E7860" s="4" t="s">
        <v>2001</v>
      </c>
    </row>
    <row r="7861" spans="1:5" x14ac:dyDescent="0.2">
      <c r="A7861">
        <v>7800</v>
      </c>
      <c r="B7861" s="1825">
        <f>'PCTC-OEPP 27-28'!F129</f>
        <v>13981</v>
      </c>
      <c r="D7861" s="2" t="str">
        <f t="shared" si="129"/>
        <v>Error?</v>
      </c>
      <c r="E7861" s="4" t="s">
        <v>2001</v>
      </c>
    </row>
    <row r="7862" spans="1:5" x14ac:dyDescent="0.2">
      <c r="A7862">
        <v>7801</v>
      </c>
      <c r="B7862" s="1825">
        <f>'PCTC-OEPP 27-28'!F130</f>
        <v>0</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4171</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1535</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9829</v>
      </c>
      <c r="D7874" s="2" t="str">
        <f t="shared" si="129"/>
        <v>Error?</v>
      </c>
      <c r="E7874" s="4" t="s">
        <v>2001</v>
      </c>
    </row>
    <row r="7875" spans="1:5" x14ac:dyDescent="0.2">
      <c r="A7875">
        <v>7814</v>
      </c>
      <c r="B7875" s="1825">
        <f>'PCTC-OEPP 27-28'!F170</f>
        <v>28428</v>
      </c>
      <c r="D7875" s="2" t="str">
        <f t="shared" si="129"/>
        <v>Error?</v>
      </c>
      <c r="E7875" s="4" t="s">
        <v>2001</v>
      </c>
    </row>
    <row r="7876" spans="1:5" x14ac:dyDescent="0.2">
      <c r="A7876">
        <v>7815</v>
      </c>
      <c r="B7876" s="1825">
        <f>'PCTC-OEPP 27-28'!F171</f>
        <v>0</v>
      </c>
      <c r="D7876" s="2" t="str">
        <f t="shared" si="129"/>
        <v>Error?</v>
      </c>
      <c r="E7876" s="4" t="s">
        <v>2001</v>
      </c>
    </row>
    <row r="7877" spans="1:5" x14ac:dyDescent="0.2">
      <c r="A7877">
        <v>7816</v>
      </c>
      <c r="B7877" s="1825">
        <f>'PCTC-OEPP 27-28'!F175</f>
        <v>940324</v>
      </c>
      <c r="D7877" s="2" t="str">
        <f t="shared" si="129"/>
        <v>Error?</v>
      </c>
      <c r="E7877" s="4" t="s">
        <v>2001</v>
      </c>
    </row>
    <row r="7878" spans="1:5" x14ac:dyDescent="0.2">
      <c r="A7878">
        <v>7817</v>
      </c>
      <c r="B7878" s="1825">
        <f>'PCTC-OEPP 27-28'!F176</f>
        <v>3143314</v>
      </c>
      <c r="D7878" s="2" t="str">
        <f t="shared" si="129"/>
        <v>Error?</v>
      </c>
      <c r="E7878" s="4" t="s">
        <v>2001</v>
      </c>
    </row>
    <row r="7879" spans="1:5" x14ac:dyDescent="0.2">
      <c r="A7879">
        <v>7818</v>
      </c>
      <c r="B7879" s="1825">
        <f>'PCTC-OEPP 27-28'!F178</f>
        <v>3364276</v>
      </c>
      <c r="D7879" s="2" t="str">
        <f t="shared" si="129"/>
        <v>Error?</v>
      </c>
      <c r="E7879" s="4" t="s">
        <v>2001</v>
      </c>
    </row>
    <row r="7880" spans="1:5" x14ac:dyDescent="0.2">
      <c r="A7880">
        <v>7819</v>
      </c>
      <c r="B7880" s="1825">
        <f>'PCTC-OEPP 27-28'!F180</f>
        <v>10121.167268351384</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07" t="s">
        <v>1183</v>
      </c>
      <c r="B2" s="2507"/>
      <c r="C2" s="2507"/>
      <c r="D2" s="2507"/>
      <c r="E2" s="2507"/>
      <c r="F2" s="2507"/>
      <c r="G2" s="2507"/>
      <c r="H2" s="2507"/>
      <c r="I2" s="2507"/>
      <c r="J2" s="2507"/>
      <c r="K2" s="2507"/>
      <c r="L2" s="2507"/>
    </row>
    <row r="3" spans="1:29" ht="13.5" customHeight="1" x14ac:dyDescent="0.2">
      <c r="A3" s="2539" t="s">
        <v>1182</v>
      </c>
      <c r="B3" s="2539"/>
      <c r="C3" s="2539"/>
      <c r="D3" s="2539"/>
      <c r="E3" s="2539"/>
      <c r="F3" s="2539"/>
      <c r="G3" s="2539"/>
      <c r="H3" s="2539"/>
      <c r="I3" s="2539"/>
      <c r="J3" s="2539"/>
      <c r="K3" s="2539"/>
      <c r="L3" s="2539"/>
    </row>
    <row r="4" spans="1:29" ht="13.5" customHeight="1" x14ac:dyDescent="0.2">
      <c r="A4" s="2528" t="str">
        <f>"Year Ending June 30, "&amp;'AFR20'!E2</f>
        <v>Year Ending June 30, 2020</v>
      </c>
      <c r="B4" s="2529"/>
      <c r="C4" s="2529"/>
      <c r="D4" s="2529"/>
      <c r="E4" s="2529"/>
      <c r="F4" s="2529"/>
      <c r="G4" s="2529"/>
      <c r="H4" s="2529"/>
      <c r="I4" s="2529"/>
      <c r="J4" s="2529"/>
      <c r="K4" s="2529"/>
      <c r="L4" s="2529"/>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30" t="str">
        <f>COVER!A17</f>
        <v xml:space="preserve">   Northwestern CUSD 2</v>
      </c>
      <c r="B7" s="2531"/>
      <c r="C7" s="2531"/>
      <c r="D7" s="2532"/>
      <c r="E7" s="2533">
        <f>COVER!A13</f>
        <v>40056002026</v>
      </c>
      <c r="F7" s="2534"/>
      <c r="G7" s="2540" t="str">
        <f>COVER!T23</f>
        <v>066-004886</v>
      </c>
      <c r="H7" s="2541"/>
      <c r="I7" s="2541"/>
      <c r="J7" s="2541"/>
      <c r="K7" s="2541"/>
      <c r="L7" s="2542"/>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43"/>
      <c r="B9" s="2544"/>
      <c r="C9" s="2544"/>
      <c r="D9" s="2544"/>
      <c r="E9" s="2544"/>
      <c r="F9" s="2545"/>
      <c r="G9" s="2513" t="str">
        <f>COVER!T13</f>
        <v>LOY MILLER TALLEY, PC</v>
      </c>
      <c r="H9" s="2546"/>
      <c r="I9" s="2546"/>
      <c r="J9" s="2546"/>
      <c r="K9" s="2546"/>
      <c r="L9" s="2547"/>
    </row>
    <row r="10" spans="1:29" ht="13.5" customHeight="1" x14ac:dyDescent="0.2">
      <c r="A10" s="2519" t="str">
        <f>COVER!A38</f>
        <v>KEVIN BOWMAN</v>
      </c>
      <c r="B10" s="2520"/>
      <c r="C10" s="2520"/>
      <c r="D10" s="2520"/>
      <c r="E10" s="2520"/>
      <c r="F10" s="2521"/>
      <c r="G10" s="2513" t="str">
        <f>COVER!T17</f>
        <v>2 CROSSROADS COURT</v>
      </c>
      <c r="H10" s="2514"/>
      <c r="I10" s="2514"/>
      <c r="J10" s="2514"/>
      <c r="K10" s="2514"/>
      <c r="L10" s="2515"/>
    </row>
    <row r="11" spans="1:29" ht="13.5" customHeight="1" x14ac:dyDescent="0.2">
      <c r="A11" s="956" t="s">
        <v>1505</v>
      </c>
      <c r="B11" s="957"/>
      <c r="C11" s="958"/>
      <c r="D11" s="963"/>
      <c r="E11" s="958"/>
      <c r="F11" s="962"/>
      <c r="G11" s="2513" t="str">
        <f>COVER!T19</f>
        <v>ALTON</v>
      </c>
      <c r="H11" s="2514"/>
      <c r="I11" s="2514"/>
      <c r="J11" s="2514"/>
      <c r="K11" s="2514"/>
      <c r="L11" s="2515"/>
    </row>
    <row r="12" spans="1:29" ht="13.5" customHeight="1" x14ac:dyDescent="0.2">
      <c r="A12" s="2522" t="s">
        <v>1504</v>
      </c>
      <c r="B12" s="2523"/>
      <c r="C12" s="2523"/>
      <c r="D12" s="2523"/>
      <c r="E12" s="2523"/>
      <c r="F12" s="2524"/>
      <c r="G12" s="2516"/>
      <c r="H12" s="2517"/>
      <c r="I12" s="2517"/>
      <c r="J12" s="2517"/>
      <c r="K12" s="2517"/>
      <c r="L12" s="2518"/>
    </row>
    <row r="13" spans="1:29" ht="13.5" customHeight="1" x14ac:dyDescent="0.2">
      <c r="A13" s="2513"/>
      <c r="B13" s="2514"/>
      <c r="C13" s="2514"/>
      <c r="D13" s="2514"/>
      <c r="E13" s="2514"/>
      <c r="F13" s="2515"/>
      <c r="G13" s="2508" t="s">
        <v>1506</v>
      </c>
      <c r="H13" s="2509"/>
      <c r="I13" s="2525" t="str">
        <f>COVER!T25</f>
        <v>ken@lmtcpas.com</v>
      </c>
      <c r="J13" s="2526"/>
      <c r="K13" s="2526"/>
      <c r="L13" s="2527"/>
    </row>
    <row r="14" spans="1:29" ht="13.5" customHeight="1" x14ac:dyDescent="0.2">
      <c r="A14" s="2513" t="str">
        <f>COVER!A19</f>
        <v>30953 ROUTE 111</v>
      </c>
      <c r="B14" s="2514"/>
      <c r="C14" s="2514"/>
      <c r="D14" s="2514"/>
      <c r="E14" s="2514"/>
      <c r="F14" s="2515"/>
      <c r="G14" s="967" t="s">
        <v>1177</v>
      </c>
      <c r="H14" s="965"/>
      <c r="I14" s="965"/>
      <c r="J14" s="965"/>
      <c r="K14" s="965"/>
      <c r="L14" s="966"/>
    </row>
    <row r="15" spans="1:29" ht="13.5" customHeight="1" x14ac:dyDescent="0.2">
      <c r="A15" s="2513" t="str">
        <f>COVER!A21</f>
        <v>PALMYRA</v>
      </c>
      <c r="B15" s="2514"/>
      <c r="C15" s="2514"/>
      <c r="D15" s="2514"/>
      <c r="E15" s="2514"/>
      <c r="F15" s="2515"/>
      <c r="G15" s="2510" t="str">
        <f>COVER!T15</f>
        <v>KENNETH E. LOY, CPA</v>
      </c>
      <c r="H15" s="2511"/>
      <c r="I15" s="2511"/>
      <c r="J15" s="2511"/>
      <c r="K15" s="2511"/>
      <c r="L15" s="2512"/>
    </row>
    <row r="16" spans="1:29" ht="12.2" customHeight="1" x14ac:dyDescent="0.2">
      <c r="A16" s="2536">
        <f>COVER!A25</f>
        <v>62674</v>
      </c>
      <c r="B16" s="2537"/>
      <c r="C16" s="2537"/>
      <c r="D16" s="2537"/>
      <c r="E16" s="2537"/>
      <c r="F16" s="2538"/>
      <c r="G16" s="2548"/>
      <c r="H16" s="2549"/>
      <c r="I16" s="2549"/>
      <c r="J16" s="2549"/>
      <c r="K16" s="2549"/>
      <c r="L16" s="2550"/>
    </row>
    <row r="17" spans="1:13" ht="12.2" customHeight="1" x14ac:dyDescent="0.2">
      <c r="A17" s="2551"/>
      <c r="B17" s="2537"/>
      <c r="C17" s="2537"/>
      <c r="D17" s="2537"/>
      <c r="E17" s="2537"/>
      <c r="F17" s="2538"/>
      <c r="G17" s="967" t="s">
        <v>1176</v>
      </c>
      <c r="H17" s="965"/>
      <c r="I17" s="965"/>
      <c r="J17" s="965"/>
      <c r="K17" s="969" t="s">
        <v>1175</v>
      </c>
      <c r="L17" s="962"/>
      <c r="M17" s="955"/>
    </row>
    <row r="18" spans="1:13" ht="12.2" customHeight="1" x14ac:dyDescent="0.2">
      <c r="A18" s="2519"/>
      <c r="B18" s="2520"/>
      <c r="C18" s="2520"/>
      <c r="D18" s="2520"/>
      <c r="E18" s="2520"/>
      <c r="F18" s="2521"/>
      <c r="G18" s="2530" t="str">
        <f>COVER!T21</f>
        <v>618-465-1196</v>
      </c>
      <c r="H18" s="2531"/>
      <c r="I18" s="2531"/>
      <c r="J18" s="2531"/>
      <c r="K18" s="2530" t="str">
        <f>COVER!X21</f>
        <v>618-465-2900</v>
      </c>
      <c r="L18" s="253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52" t="str">
        <f>'Single Audit Cover'!A7</f>
        <v xml:space="preserve">   Northwestern CUSD 2</v>
      </c>
      <c r="B1" s="2553"/>
      <c r="C1" s="2553"/>
      <c r="D1" s="2553"/>
    </row>
    <row r="2" spans="1:11" s="984" customFormat="1" ht="12.75" x14ac:dyDescent="0.2">
      <c r="A2" s="2554">
        <f>'Single Audit Cover'!E7</f>
        <v>40056002026</v>
      </c>
      <c r="B2" s="2555"/>
      <c r="C2" s="2555"/>
      <c r="D2" s="2555"/>
    </row>
    <row r="3" spans="1:11" s="984" customFormat="1" ht="12.75" x14ac:dyDescent="0.2">
      <c r="A3" s="2552" t="s">
        <v>1499</v>
      </c>
      <c r="B3" s="2553"/>
      <c r="C3" s="2553"/>
      <c r="D3" s="2553"/>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57" t="str">
        <f>'Single Audit Cover'!A7</f>
        <v xml:space="preserve">   Northwestern CUSD 2</v>
      </c>
      <c r="B1" s="2557"/>
      <c r="C1" s="2557"/>
      <c r="D1" s="2557"/>
      <c r="E1" s="2557"/>
    </row>
    <row r="2" spans="1:5" x14ac:dyDescent="0.2">
      <c r="A2" s="2558">
        <f>'Single Audit Cover'!E7</f>
        <v>40056002026</v>
      </c>
      <c r="B2" s="2558"/>
      <c r="C2" s="2558"/>
      <c r="D2" s="2558"/>
      <c r="E2" s="2558"/>
    </row>
    <row r="3" spans="1:5" ht="4.5" customHeight="1" x14ac:dyDescent="0.2"/>
    <row r="4" spans="1:5" x14ac:dyDescent="0.2">
      <c r="A4" s="2557" t="s">
        <v>1236</v>
      </c>
      <c r="B4" s="2557"/>
      <c r="C4" s="2557"/>
      <c r="D4" s="2557"/>
      <c r="E4" s="2557"/>
    </row>
    <row r="5" spans="1:5" x14ac:dyDescent="0.2">
      <c r="A5" s="2560" t="str">
        <f>'Single Audit Cover'!A4</f>
        <v>Year Ending June 30, 2020</v>
      </c>
      <c r="B5" s="2560"/>
      <c r="C5" s="2560"/>
      <c r="D5" s="2560"/>
      <c r="E5" s="2560"/>
    </row>
    <row r="6" spans="1:5" x14ac:dyDescent="0.2">
      <c r="A6" s="2557" t="s">
        <v>1235</v>
      </c>
      <c r="B6" s="2557"/>
      <c r="C6" s="2557"/>
      <c r="D6" s="2557"/>
      <c r="E6" s="2557"/>
    </row>
    <row r="8" spans="1:5" x14ac:dyDescent="0.2">
      <c r="A8" s="1029" t="s">
        <v>1234</v>
      </c>
    </row>
    <row r="10" spans="1:5" x14ac:dyDescent="0.2">
      <c r="A10" s="1030" t="s">
        <v>1233</v>
      </c>
      <c r="B10" s="1031" t="s">
        <v>1232</v>
      </c>
      <c r="C10" s="1031"/>
      <c r="D10" s="1032">
        <f>SUM('Acct Summary 7-8'!C7:K7)</f>
        <v>333827</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15838</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-28428</v>
      </c>
    </row>
    <row r="19" spans="1:4" ht="13.5" thickBot="1" x14ac:dyDescent="0.25">
      <c r="A19" s="1034" t="s">
        <v>1226</v>
      </c>
      <c r="D19" s="1035">
        <f>SUM(D10:D17)</f>
        <v>321237</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59"/>
      <c r="B24" s="2559"/>
      <c r="D24" s="1037"/>
    </row>
    <row r="25" spans="1:4" x14ac:dyDescent="0.2">
      <c r="A25" s="2556"/>
      <c r="B25" s="2556"/>
      <c r="D25" s="1037"/>
    </row>
    <row r="26" spans="1:4" x14ac:dyDescent="0.2">
      <c r="A26" s="2556"/>
      <c r="B26" s="2556"/>
      <c r="D26" s="1037"/>
    </row>
    <row r="27" spans="1:4" x14ac:dyDescent="0.2">
      <c r="A27" s="2556"/>
      <c r="B27" s="2556"/>
      <c r="D27" s="1037"/>
    </row>
    <row r="28" spans="1:4" x14ac:dyDescent="0.2">
      <c r="A28" s="2556"/>
      <c r="B28" s="2556"/>
      <c r="D28" s="1037"/>
    </row>
    <row r="29" spans="1:4" x14ac:dyDescent="0.2">
      <c r="A29" s="2556"/>
      <c r="B29" s="2556"/>
      <c r="D29" s="1037"/>
    </row>
    <row r="30" spans="1:4" x14ac:dyDescent="0.2">
      <c r="A30" s="2556"/>
      <c r="B30" s="2556"/>
      <c r="D30" s="1037"/>
    </row>
    <row r="32" spans="1:4" x14ac:dyDescent="0.2">
      <c r="A32" s="1029" t="s">
        <v>1224</v>
      </c>
      <c r="D32" s="1032">
        <f>SUM(D19:D30)</f>
        <v>321237</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6"/>
      <c r="B40" s="2556"/>
      <c r="D40" s="1037"/>
    </row>
    <row r="41" spans="1:4" x14ac:dyDescent="0.2">
      <c r="A41" s="2556"/>
      <c r="B41" s="2556"/>
      <c r="D41" s="1040"/>
    </row>
    <row r="42" spans="1:4" x14ac:dyDescent="0.2">
      <c r="A42" s="2556"/>
      <c r="B42" s="2556"/>
      <c r="D42" s="1040"/>
    </row>
    <row r="43" spans="1:4" x14ac:dyDescent="0.2">
      <c r="A43" s="2556"/>
      <c r="B43" s="2556"/>
      <c r="D43" s="1040"/>
    </row>
    <row r="44" spans="1:4" x14ac:dyDescent="0.2">
      <c r="A44" s="2556"/>
      <c r="B44" s="2556"/>
      <c r="D44" s="1040"/>
    </row>
    <row r="45" spans="1:4" x14ac:dyDescent="0.2">
      <c r="A45" s="2556"/>
      <c r="B45" s="2556"/>
      <c r="D45" s="1040"/>
    </row>
    <row r="47" spans="1:4" x14ac:dyDescent="0.2">
      <c r="B47" s="1041" t="s">
        <v>1218</v>
      </c>
      <c r="C47" s="1041"/>
      <c r="D47" s="1042">
        <f>SUM(D35:D45)</f>
        <v>0</v>
      </c>
    </row>
    <row r="49" spans="2:4" x14ac:dyDescent="0.2">
      <c r="B49" s="1041" t="s">
        <v>1217</v>
      </c>
      <c r="C49" s="1041"/>
      <c r="D49" s="1042">
        <f>D32-D47</f>
        <v>321237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9" t="str">
        <f>'Single Audit Cover'!A7</f>
        <v xml:space="preserve">   Northwestern CUSD 2</v>
      </c>
      <c r="C1" s="2561"/>
      <c r="D1" s="2561"/>
      <c r="E1" s="2561"/>
      <c r="F1" s="2561"/>
      <c r="G1" s="2561"/>
      <c r="H1" s="2561"/>
      <c r="I1" s="2561"/>
      <c r="J1" s="2561"/>
      <c r="K1" s="2561"/>
      <c r="L1" s="2561"/>
      <c r="M1" s="2561"/>
    </row>
    <row r="2" spans="2:14" ht="15" x14ac:dyDescent="0.2">
      <c r="B2" s="2562">
        <f>'Single Audit Cover'!E7</f>
        <v>40056002026</v>
      </c>
      <c r="C2" s="2562"/>
      <c r="D2" s="2562"/>
      <c r="E2" s="2562"/>
      <c r="F2" s="2562"/>
      <c r="G2" s="2562"/>
      <c r="H2" s="2562"/>
      <c r="I2" s="2562"/>
      <c r="J2" s="2562"/>
      <c r="K2" s="2562"/>
      <c r="L2" s="2562"/>
      <c r="M2" s="2562"/>
      <c r="N2" s="1071"/>
    </row>
    <row r="3" spans="2:14" ht="15" x14ac:dyDescent="0.2">
      <c r="B3" s="2563" t="s">
        <v>1210</v>
      </c>
      <c r="C3" s="2563"/>
      <c r="D3" s="2563"/>
      <c r="E3" s="2563"/>
      <c r="F3" s="2563"/>
      <c r="G3" s="2563"/>
      <c r="H3" s="2563"/>
      <c r="I3" s="2563"/>
      <c r="J3" s="2563"/>
      <c r="K3" s="2563"/>
      <c r="L3" s="2563"/>
      <c r="M3" s="2563"/>
      <c r="N3" s="1071"/>
    </row>
    <row r="4" spans="2:14" ht="15" x14ac:dyDescent="0.2">
      <c r="B4" s="2564" t="str">
        <f>'Single Audit Cover'!A4</f>
        <v>Year Ending June 30, 2020</v>
      </c>
      <c r="C4" s="2564"/>
      <c r="D4" s="2564"/>
      <c r="E4" s="2564"/>
      <c r="F4" s="2564"/>
      <c r="G4" s="2564"/>
      <c r="H4" s="2564"/>
      <c r="I4" s="2564"/>
      <c r="J4" s="2564"/>
      <c r="K4" s="2564"/>
      <c r="L4" s="2564"/>
      <c r="M4" s="2564"/>
      <c r="N4" s="1071"/>
    </row>
    <row r="5" spans="2:14" x14ac:dyDescent="0.2">
      <c r="H5" s="1906"/>
      <c r="J5" s="1906"/>
    </row>
    <row r="6" spans="2:14" x14ac:dyDescent="0.2">
      <c r="B6" s="1072"/>
      <c r="C6" s="1073"/>
      <c r="D6" s="1074" t="s">
        <v>1256</v>
      </c>
      <c r="E6" s="1075" t="s">
        <v>524</v>
      </c>
      <c r="F6" s="1076"/>
      <c r="G6" s="1077" t="s">
        <v>1714</v>
      </c>
      <c r="H6" s="1075"/>
      <c r="I6" s="1075"/>
      <c r="J6" s="1907"/>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5" t="str">
        <f>"7/1/"&amp;MID('AFR20'!$E$2,3,2)-2&amp;"-6/30/"&amp;MID('AFR20'!$E$2,3,2)-1</f>
        <v>7/1/18-6/30/19</v>
      </c>
      <c r="F9" s="1905" t="str">
        <f>"7/1/"&amp;MID('AFR20'!$E$2,3,2)-1&amp;"-6/30/"&amp;MID('AFR20'!$E$2,3,2)</f>
        <v>7/1/19-6/30/20</v>
      </c>
      <c r="G9" s="1905" t="str">
        <f>"7/1/"&amp;MID('AFR20'!$E$2,3,2)-2&amp;"-6/30/"&amp;MID('AFR20'!$E$2,3,2)-1</f>
        <v>7/1/18-6/30/19</v>
      </c>
      <c r="H9" s="1086" t="s">
        <v>1568</v>
      </c>
      <c r="I9" s="1905"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Northwestern CUSD 2</v>
      </c>
      <c r="B1" s="2574"/>
      <c r="C1" s="2574"/>
      <c r="D1" s="2574"/>
      <c r="E1" s="2574"/>
      <c r="F1" s="2574"/>
    </row>
    <row r="2" spans="1:7" ht="13.5" customHeight="1" x14ac:dyDescent="0.2">
      <c r="A2" s="2562">
        <f>'Single Audit Cover'!E7</f>
        <v>40056002026</v>
      </c>
      <c r="B2" s="2562"/>
      <c r="C2" s="2562"/>
      <c r="D2" s="2562"/>
      <c r="E2" s="2562"/>
      <c r="F2" s="2562"/>
      <c r="G2" s="1044"/>
    </row>
    <row r="3" spans="1:7" ht="15.75" customHeight="1" x14ac:dyDescent="0.2">
      <c r="A3" s="2575" t="s">
        <v>1262</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45" t="s">
        <v>1708</v>
      </c>
      <c r="C6" s="295"/>
      <c r="D6" s="295"/>
    </row>
    <row r="7" spans="1:7" ht="60.95" customHeight="1" x14ac:dyDescent="0.2">
      <c r="A7" s="2573" t="s">
        <v>1709</v>
      </c>
      <c r="B7" s="2573"/>
      <c r="C7" s="2573"/>
      <c r="D7" s="2573"/>
      <c r="E7" s="2573"/>
      <c r="F7" s="2573"/>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3" t="s">
        <v>1711</v>
      </c>
      <c r="B13" s="2573"/>
      <c r="C13" s="2573"/>
      <c r="D13" s="2573"/>
      <c r="E13" s="2573"/>
      <c r="F13" s="2573"/>
    </row>
    <row r="14" spans="1:7" ht="9.75" customHeight="1" x14ac:dyDescent="0.2">
      <c r="C14" s="1029"/>
      <c r="D14" s="1029"/>
    </row>
    <row r="15" spans="1:7" ht="13.5" customHeight="1" x14ac:dyDescent="0.2">
      <c r="C15" s="1469" t="s">
        <v>1261</v>
      </c>
      <c r="D15" s="2571" t="s">
        <v>1260</v>
      </c>
      <c r="E15" s="2571"/>
      <c r="F15" s="2571"/>
    </row>
    <row r="16" spans="1:7" ht="13.5" customHeight="1" x14ac:dyDescent="0.2">
      <c r="A16" s="1051"/>
      <c r="B16" s="1045" t="s">
        <v>1259</v>
      </c>
      <c r="C16" s="1469" t="s">
        <v>1258</v>
      </c>
      <c r="D16" s="2572" t="s">
        <v>1574</v>
      </c>
      <c r="E16" s="2572"/>
      <c r="F16" s="2572"/>
    </row>
    <row r="17" spans="1:6" ht="20.45" customHeight="1" x14ac:dyDescent="0.2">
      <c r="A17" s="1052"/>
      <c r="B17" s="1053"/>
      <c r="C17" s="1054"/>
      <c r="D17" s="2566"/>
      <c r="E17" s="2566"/>
      <c r="F17" s="2566"/>
    </row>
    <row r="18" spans="1:6" ht="20.65" customHeight="1" x14ac:dyDescent="0.2">
      <c r="A18" s="1052"/>
      <c r="B18" s="1053"/>
      <c r="C18" s="1054"/>
      <c r="D18" s="2566"/>
      <c r="E18" s="2566"/>
      <c r="F18" s="2566"/>
    </row>
    <row r="19" spans="1:6" ht="20.65" customHeight="1" x14ac:dyDescent="0.2">
      <c r="A19" s="1052"/>
      <c r="B19" s="1053"/>
      <c r="C19" s="1054"/>
      <c r="D19" s="2566"/>
      <c r="E19" s="2566"/>
      <c r="F19" s="2566"/>
    </row>
    <row r="20" spans="1:6" ht="20.65" customHeight="1" x14ac:dyDescent="0.2">
      <c r="A20" s="1052"/>
      <c r="B20" s="1053"/>
      <c r="C20" s="1054"/>
      <c r="D20" s="2566"/>
      <c r="E20" s="2566"/>
      <c r="F20" s="2566"/>
    </row>
    <row r="21" spans="1:6" ht="20.65" customHeight="1" x14ac:dyDescent="0.2">
      <c r="A21" s="1052"/>
      <c r="B21" s="1053"/>
      <c r="C21" s="1054"/>
      <c r="D21" s="2566"/>
      <c r="E21" s="2566"/>
      <c r="F21" s="2566"/>
    </row>
    <row r="22" spans="1:6" ht="20.65" customHeight="1" x14ac:dyDescent="0.2">
      <c r="A22" s="1052"/>
      <c r="B22" s="1053"/>
      <c r="C22" s="1054"/>
      <c r="D22" s="2566"/>
      <c r="E22" s="2566"/>
      <c r="F22" s="2566"/>
    </row>
    <row r="23" spans="1:6" ht="20.65" customHeight="1" x14ac:dyDescent="0.2">
      <c r="A23" s="1052"/>
      <c r="B23" s="1053"/>
      <c r="C23" s="1054"/>
      <c r="D23" s="2566"/>
      <c r="E23" s="2566"/>
      <c r="F23" s="2566"/>
    </row>
    <row r="24" spans="1:6" ht="20.65" customHeight="1" x14ac:dyDescent="0.2">
      <c r="A24" s="1052"/>
      <c r="B24" s="1053"/>
      <c r="C24" s="1054"/>
      <c r="D24" s="2566"/>
      <c r="E24" s="2566"/>
      <c r="F24" s="2566"/>
    </row>
    <row r="25" spans="1:6" ht="20.65" customHeight="1" x14ac:dyDescent="0.2">
      <c r="A25" s="1052"/>
      <c r="B25" s="1053"/>
      <c r="C25" s="1054"/>
      <c r="D25" s="2566"/>
      <c r="E25" s="2566"/>
      <c r="F25" s="2566"/>
    </row>
    <row r="26" spans="1:6" ht="20.65" customHeight="1" x14ac:dyDescent="0.2">
      <c r="A26" s="1052"/>
      <c r="B26" s="1053"/>
      <c r="C26" s="1054"/>
      <c r="D26" s="2566"/>
      <c r="E26" s="2566"/>
      <c r="F26" s="2566"/>
    </row>
    <row r="27" spans="1:6" ht="20.65" customHeight="1" x14ac:dyDescent="0.2">
      <c r="A27" s="1052"/>
      <c r="B27" s="1053"/>
      <c r="C27" s="1054"/>
      <c r="D27" s="2566"/>
      <c r="E27" s="2566"/>
      <c r="F27" s="2566"/>
    </row>
    <row r="28" spans="1:6" ht="20.65" customHeight="1" x14ac:dyDescent="0.2">
      <c r="A28" s="1052"/>
      <c r="B28" s="1053"/>
      <c r="C28" s="1054"/>
      <c r="D28" s="2566"/>
      <c r="E28" s="2566"/>
      <c r="F28" s="2566"/>
    </row>
    <row r="29" spans="1:6" ht="20.65" customHeight="1" x14ac:dyDescent="0.2">
      <c r="A29" s="1052"/>
      <c r="B29" s="1053"/>
      <c r="C29" s="1054"/>
      <c r="D29" s="2566"/>
      <c r="E29" s="2566"/>
      <c r="F29" s="2566"/>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67" t="s">
        <v>1712</v>
      </c>
      <c r="B32" s="2567"/>
      <c r="C32" s="2567"/>
      <c r="D32" s="2567"/>
      <c r="E32" s="2567"/>
      <c r="F32" s="2567"/>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68">
        <f>+C33+C34</f>
        <v>0</v>
      </c>
      <c r="F34" s="2569"/>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0" t="s">
        <v>1576</v>
      </c>
      <c r="C49" s="2570"/>
      <c r="D49" s="2570"/>
      <c r="E49" s="1161"/>
    </row>
    <row r="50" spans="1:5" s="1069" customFormat="1" ht="3.75" customHeight="1" x14ac:dyDescent="0.2">
      <c r="A50" s="1068"/>
      <c r="B50" s="1468"/>
      <c r="C50" s="1468"/>
      <c r="D50" s="1468"/>
      <c r="E50" s="1161"/>
    </row>
    <row r="51" spans="1:5" s="1069" customFormat="1" ht="20.25" customHeight="1" x14ac:dyDescent="0.2">
      <c r="A51" s="1070">
        <v>6</v>
      </c>
      <c r="B51" s="2565" t="s">
        <v>1537</v>
      </c>
      <c r="C51" s="2565"/>
      <c r="D51" s="2565"/>
    </row>
    <row r="52" spans="1:5" ht="14.25" customHeight="1" x14ac:dyDescent="0.2">
      <c r="A52" s="1070"/>
      <c r="B52" s="2565"/>
      <c r="C52" s="2565"/>
      <c r="D52" s="256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Northwestern CUSD 2</v>
      </c>
      <c r="C1" s="2589"/>
      <c r="D1" s="2589"/>
      <c r="E1" s="2589"/>
      <c r="F1" s="2589"/>
      <c r="G1" s="2589"/>
      <c r="H1" s="2589"/>
      <c r="I1" s="2589"/>
      <c r="J1" s="1171"/>
    </row>
    <row r="2" spans="2:10" s="295" customFormat="1" ht="12.75" customHeight="1" x14ac:dyDescent="0.2">
      <c r="B2" s="2590">
        <f>'Single Audit Cover'!E7</f>
        <v>40056002026</v>
      </c>
      <c r="C2" s="2591"/>
      <c r="D2" s="2591"/>
      <c r="E2" s="2591"/>
      <c r="F2" s="2591"/>
      <c r="G2" s="2591"/>
      <c r="H2" s="2591"/>
      <c r="I2" s="2591"/>
      <c r="J2" s="1171"/>
    </row>
    <row r="3" spans="2:10" s="295" customFormat="1" ht="12.75" customHeight="1" x14ac:dyDescent="0.2">
      <c r="B3" s="2592" t="s">
        <v>1276</v>
      </c>
      <c r="C3" s="2593"/>
      <c r="D3" s="2593"/>
      <c r="E3" s="2593"/>
      <c r="F3" s="2593"/>
      <c r="G3" s="2593"/>
      <c r="H3" s="2593"/>
      <c r="I3" s="2593"/>
      <c r="J3" s="1172"/>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92" t="s">
        <v>1275</v>
      </c>
      <c r="C7" s="2593"/>
      <c r="D7" s="2593"/>
      <c r="E7" s="2593"/>
      <c r="F7" s="2593"/>
      <c r="G7" s="2593"/>
      <c r="H7" s="2593"/>
      <c r="I7" s="2593"/>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4"/>
      <c r="D11" s="2594"/>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5"/>
      <c r="E29" s="2595"/>
      <c r="F29" s="2595"/>
      <c r="G29" s="2595"/>
      <c r="H29" s="2595"/>
      <c r="I29" s="2595"/>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6" t="s">
        <v>1731</v>
      </c>
      <c r="D37" s="2597"/>
      <c r="E37" s="2597"/>
      <c r="F37" s="2598"/>
      <c r="G37" s="2596" t="s">
        <v>1578</v>
      </c>
      <c r="H37" s="2597"/>
      <c r="I37" s="2598"/>
    </row>
    <row r="38" spans="2:9" ht="16.5" customHeight="1" x14ac:dyDescent="0.2">
      <c r="B38" s="1193"/>
      <c r="C38" s="2584"/>
      <c r="D38" s="2585"/>
      <c r="E38" s="2585"/>
      <c r="F38" s="2586"/>
      <c r="G38" s="2599"/>
      <c r="H38" s="2600"/>
      <c r="I38" s="2601"/>
    </row>
    <row r="39" spans="2:9" ht="16.5" customHeight="1" x14ac:dyDescent="0.2">
      <c r="B39" s="1193"/>
      <c r="C39" s="2584"/>
      <c r="D39" s="2585"/>
      <c r="E39" s="2585"/>
      <c r="F39" s="2586"/>
      <c r="G39" s="2587"/>
      <c r="H39" s="2587"/>
      <c r="I39" s="2587"/>
    </row>
    <row r="40" spans="2:9" ht="16.5" customHeight="1" x14ac:dyDescent="0.2">
      <c r="B40" s="1193"/>
      <c r="C40" s="2584"/>
      <c r="D40" s="2585"/>
      <c r="E40" s="2585"/>
      <c r="F40" s="2586"/>
      <c r="G40" s="2587"/>
      <c r="H40" s="2587"/>
      <c r="I40" s="2587"/>
    </row>
    <row r="41" spans="2:9" ht="16.5" customHeight="1" x14ac:dyDescent="0.2">
      <c r="B41" s="1193"/>
      <c r="C41" s="2584"/>
      <c r="D41" s="2585"/>
      <c r="E41" s="2585"/>
      <c r="F41" s="2586"/>
      <c r="G41" s="2587"/>
      <c r="H41" s="2587"/>
      <c r="I41" s="2587"/>
    </row>
    <row r="42" spans="2:9" ht="16.5" customHeight="1" x14ac:dyDescent="0.2">
      <c r="B42" s="1193"/>
      <c r="C42" s="2584"/>
      <c r="D42" s="2585"/>
      <c r="E42" s="2585"/>
      <c r="F42" s="2586"/>
      <c r="G42" s="2587"/>
      <c r="H42" s="2587"/>
      <c r="I42" s="2587"/>
    </row>
    <row r="43" spans="2:9" ht="16.5" customHeight="1" x14ac:dyDescent="0.2">
      <c r="B43" s="1193"/>
      <c r="C43" s="2577" t="s">
        <v>1579</v>
      </c>
      <c r="D43" s="2578"/>
      <c r="E43" s="2578"/>
      <c r="F43" s="2579"/>
      <c r="G43" s="2580">
        <f>SUM(G38:I42)</f>
        <v>0</v>
      </c>
      <c r="H43" s="2580"/>
      <c r="I43" s="2580"/>
    </row>
    <row r="44" spans="2:9" ht="12.75" customHeight="1" x14ac:dyDescent="0.2"/>
    <row r="45" spans="2:9" ht="12.75" customHeight="1" x14ac:dyDescent="0.2">
      <c r="B45" s="1908" t="str">
        <f>"Total Federal Expenditures for 7/1/"&amp;MID('AFR20'!E2,3,2)-1&amp;"-6/30/"&amp;MID('AFR20'!E2,3,2)</f>
        <v>Total Federal Expenditures for 7/1/19-6/30/20</v>
      </c>
      <c r="C45" s="1909"/>
      <c r="D45" s="2581">
        <v>0</v>
      </c>
      <c r="E45" s="2582"/>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583"/>
      <c r="F49" s="2583"/>
      <c r="G49" s="2583"/>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Northwestern CUSD 2</v>
      </c>
      <c r="C1" s="2588"/>
      <c r="D1" s="2588"/>
      <c r="E1" s="2588"/>
      <c r="F1" s="2588"/>
      <c r="G1" s="2588"/>
      <c r="H1" s="2588"/>
      <c r="I1" s="2588"/>
      <c r="J1" s="2588"/>
      <c r="K1" s="2588"/>
      <c r="L1" s="1137"/>
      <c r="M1" s="1137"/>
    </row>
    <row r="2" spans="1:13" ht="12" customHeight="1" x14ac:dyDescent="0.2">
      <c r="B2" s="2590">
        <f>'Single Audit Cover'!E7</f>
        <v>40056002026</v>
      </c>
      <c r="C2" s="2590"/>
      <c r="D2" s="2590"/>
      <c r="E2" s="2590"/>
      <c r="F2" s="2590"/>
      <c r="G2" s="2590"/>
      <c r="H2" s="2590"/>
      <c r="I2" s="2590"/>
      <c r="J2" s="2590"/>
      <c r="K2" s="2590"/>
      <c r="L2" s="1138"/>
      <c r="M2" s="1139"/>
    </row>
    <row r="3" spans="1:13" ht="10.35" customHeight="1" x14ac:dyDescent="0.2">
      <c r="B3" s="2604" t="s">
        <v>1276</v>
      </c>
      <c r="C3" s="2604"/>
      <c r="D3" s="2604"/>
      <c r="E3" s="2604"/>
      <c r="F3" s="2604"/>
      <c r="G3" s="2604"/>
      <c r="H3" s="2604"/>
      <c r="I3" s="2604"/>
      <c r="J3" s="2604"/>
      <c r="K3" s="2604"/>
      <c r="L3" s="1140"/>
      <c r="M3" s="1140"/>
    </row>
    <row r="4" spans="1:13" ht="14.25" customHeight="1" x14ac:dyDescent="0.2">
      <c r="B4" s="2605" t="str">
        <f>'Single Audit Cover'!A4</f>
        <v>Year Ending June 30, 2020</v>
      </c>
      <c r="C4" s="2605"/>
      <c r="D4" s="2605"/>
      <c r="E4" s="2605"/>
      <c r="F4" s="2605"/>
      <c r="G4" s="2605"/>
      <c r="H4" s="2605"/>
      <c r="I4" s="2605"/>
      <c r="J4" s="2605"/>
      <c r="K4" s="2605"/>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5" t="s">
        <v>1287</v>
      </c>
      <c r="C7" s="2605"/>
      <c r="D7" s="2606"/>
      <c r="E7" s="2606"/>
      <c r="F7" s="2606"/>
      <c r="G7" s="2606"/>
      <c r="H7" s="2606"/>
      <c r="I7" s="2606"/>
      <c r="J7" s="2606"/>
      <c r="K7" s="2606"/>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10"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3"/>
      <c r="C14" s="2603"/>
      <c r="D14" s="2603"/>
      <c r="E14" s="2603"/>
      <c r="F14" s="2603"/>
      <c r="G14" s="2603"/>
      <c r="H14" s="2603"/>
      <c r="I14" s="2603"/>
      <c r="J14" s="2603"/>
      <c r="K14" s="2603"/>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3"/>
      <c r="C17" s="2603"/>
      <c r="D17" s="2603"/>
      <c r="E17" s="2603"/>
      <c r="F17" s="2603"/>
      <c r="G17" s="2603"/>
      <c r="H17" s="2603"/>
      <c r="I17" s="2603"/>
      <c r="J17" s="2603"/>
      <c r="K17" s="2603"/>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07"/>
      <c r="C20" s="2607"/>
      <c r="D20" s="2603"/>
      <c r="E20" s="2603"/>
      <c r="F20" s="2603"/>
      <c r="G20" s="2603"/>
      <c r="H20" s="2603"/>
      <c r="I20" s="2603"/>
      <c r="J20" s="2603"/>
      <c r="K20" s="2603"/>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3"/>
      <c r="C23" s="2603"/>
      <c r="D23" s="2603"/>
      <c r="E23" s="2603"/>
      <c r="F23" s="2603"/>
      <c r="G23" s="2603"/>
      <c r="H23" s="2603"/>
      <c r="I23" s="2603"/>
      <c r="J23" s="2603"/>
      <c r="K23" s="2603"/>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3"/>
      <c r="C26" s="2603"/>
      <c r="D26" s="2603"/>
      <c r="E26" s="2603"/>
      <c r="F26" s="2603"/>
      <c r="G26" s="2603"/>
      <c r="H26" s="2603"/>
      <c r="I26" s="2603"/>
      <c r="J26" s="2603"/>
      <c r="K26" s="2603"/>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2"/>
      <c r="C29" s="2602"/>
      <c r="D29" s="2603"/>
      <c r="E29" s="2603"/>
      <c r="F29" s="2603"/>
      <c r="G29" s="2603"/>
      <c r="H29" s="2603"/>
      <c r="I29" s="2603"/>
      <c r="J29" s="2603"/>
      <c r="K29" s="2603"/>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2"/>
      <c r="C32" s="2602"/>
      <c r="D32" s="2603"/>
      <c r="E32" s="2603"/>
      <c r="F32" s="2603"/>
      <c r="G32" s="2603"/>
      <c r="H32" s="2603"/>
      <c r="I32" s="2603"/>
      <c r="J32" s="2603"/>
      <c r="K32" s="2603"/>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1" t="str">
        <f>'Single Audit Cover'!A7</f>
        <v xml:space="preserve">   Northwestern CUSD 2</v>
      </c>
      <c r="C1" s="2611"/>
      <c r="D1" s="2611"/>
      <c r="E1" s="2611"/>
      <c r="F1" s="2611"/>
      <c r="G1" s="2611"/>
      <c r="H1" s="2611"/>
      <c r="I1" s="2611"/>
      <c r="J1" s="2611"/>
      <c r="K1" s="2611"/>
      <c r="L1" s="1214"/>
    </row>
    <row r="2" spans="1:12" ht="12.75" customHeight="1" x14ac:dyDescent="0.2">
      <c r="B2" s="2612">
        <f>'Single Audit Cover'!E7</f>
        <v>40056002026</v>
      </c>
      <c r="C2" s="2612"/>
      <c r="D2" s="2612"/>
      <c r="E2" s="2612"/>
      <c r="F2" s="2612"/>
      <c r="G2" s="2612"/>
      <c r="H2" s="2612"/>
      <c r="I2" s="2612"/>
      <c r="J2" s="2612"/>
      <c r="K2" s="2612"/>
      <c r="L2" s="1215"/>
    </row>
    <row r="3" spans="1:12" ht="12.75" customHeight="1" x14ac:dyDescent="0.2">
      <c r="B3" s="2604" t="s">
        <v>1276</v>
      </c>
      <c r="C3" s="2604"/>
      <c r="D3" s="2604"/>
      <c r="E3" s="2604"/>
      <c r="F3" s="2604"/>
      <c r="G3" s="2604"/>
      <c r="H3" s="2604"/>
      <c r="I3" s="2604"/>
      <c r="J3" s="2604"/>
      <c r="K3" s="2604"/>
      <c r="L3" s="1140"/>
    </row>
    <row r="4" spans="1:12" ht="12.75" customHeight="1" x14ac:dyDescent="0.2">
      <c r="B4" s="2604" t="str">
        <f>'Single Audit Cover'!A4</f>
        <v>Year Ending June 30, 2020</v>
      </c>
      <c r="C4" s="2604"/>
      <c r="D4" s="2604"/>
      <c r="E4" s="2604"/>
      <c r="F4" s="2604"/>
      <c r="G4" s="2604"/>
      <c r="H4" s="2604"/>
      <c r="I4" s="2604"/>
      <c r="J4" s="2604"/>
      <c r="K4" s="2604"/>
      <c r="L4" s="1140"/>
    </row>
    <row r="5" spans="1:12" ht="5.25" customHeight="1" x14ac:dyDescent="0.2">
      <c r="B5" s="1029" t="s">
        <v>1161</v>
      </c>
      <c r="C5" s="1029"/>
      <c r="L5" s="300"/>
    </row>
    <row r="6" spans="1:12" ht="30.75" customHeight="1" x14ac:dyDescent="0.2">
      <c r="A6" s="300"/>
      <c r="B6" s="2613" t="s">
        <v>1299</v>
      </c>
      <c r="C6" s="2613"/>
      <c r="D6" s="2613"/>
      <c r="E6" s="2613"/>
      <c r="F6" s="2613"/>
      <c r="G6" s="2613"/>
      <c r="H6" s="2613"/>
      <c r="I6" s="2613"/>
      <c r="J6" s="2613"/>
      <c r="K6" s="2613"/>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10"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5"/>
      <c r="G12" s="2595"/>
      <c r="H12" s="2595"/>
      <c r="I12" s="2595"/>
      <c r="J12" s="2595"/>
      <c r="K12" s="2595"/>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08"/>
      <c r="E14" s="2608"/>
      <c r="F14" s="2608"/>
      <c r="H14" s="1223" t="s">
        <v>1294</v>
      </c>
      <c r="I14" s="2609"/>
      <c r="J14" s="2609"/>
      <c r="K14" s="2609"/>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09"/>
      <c r="E16" s="2609"/>
      <c r="F16" s="2609"/>
      <c r="G16" s="2609"/>
      <c r="H16" s="2609"/>
      <c r="I16" s="2609"/>
      <c r="J16" s="2609"/>
      <c r="K16" s="2609"/>
      <c r="L16" s="300"/>
    </row>
    <row r="17" spans="2:12" ht="13.5" customHeight="1" x14ac:dyDescent="0.2">
      <c r="B17" s="1149" t="s">
        <v>1292</v>
      </c>
      <c r="C17" s="1149"/>
      <c r="D17" s="2610"/>
      <c r="E17" s="2610"/>
      <c r="F17" s="2610"/>
      <c r="G17" s="2610"/>
      <c r="H17" s="2610"/>
      <c r="I17" s="2610"/>
      <c r="J17" s="2610"/>
      <c r="K17" s="2610"/>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3"/>
      <c r="C20" s="2603"/>
      <c r="D20" s="2603"/>
      <c r="E20" s="2603"/>
      <c r="F20" s="2603"/>
      <c r="G20" s="2603"/>
      <c r="H20" s="2603"/>
      <c r="I20" s="2603"/>
      <c r="J20" s="2603"/>
      <c r="K20" s="2603"/>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3"/>
      <c r="C23" s="2603"/>
      <c r="D23" s="2603"/>
      <c r="E23" s="2603"/>
      <c r="F23" s="2603"/>
      <c r="G23" s="2603"/>
      <c r="H23" s="2603"/>
      <c r="I23" s="2603"/>
      <c r="J23" s="2603"/>
      <c r="K23" s="2603"/>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3"/>
      <c r="C26" s="2603"/>
      <c r="D26" s="2603"/>
      <c r="E26" s="2603"/>
      <c r="F26" s="2603"/>
      <c r="G26" s="2603"/>
      <c r="H26" s="2603"/>
      <c r="I26" s="2603"/>
      <c r="J26" s="2603"/>
      <c r="K26" s="2603"/>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3"/>
      <c r="C29" s="2603"/>
      <c r="D29" s="2603"/>
      <c r="E29" s="2603"/>
      <c r="F29" s="2603"/>
      <c r="G29" s="2603"/>
      <c r="H29" s="2603"/>
      <c r="I29" s="2603"/>
      <c r="J29" s="2603"/>
      <c r="K29" s="2603"/>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3"/>
      <c r="C32" s="2603"/>
      <c r="D32" s="2603"/>
      <c r="E32" s="2603"/>
      <c r="F32" s="2603"/>
      <c r="G32" s="2603"/>
      <c r="H32" s="2603"/>
      <c r="I32" s="2603"/>
      <c r="J32" s="2603"/>
      <c r="K32" s="2603"/>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3"/>
      <c r="C35" s="2603"/>
      <c r="D35" s="2603"/>
      <c r="E35" s="2603"/>
      <c r="F35" s="2603"/>
      <c r="G35" s="2603"/>
      <c r="H35" s="2603"/>
      <c r="I35" s="2603"/>
      <c r="J35" s="2603"/>
      <c r="K35" s="2603"/>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3"/>
      <c r="C38" s="2603"/>
      <c r="D38" s="2603"/>
      <c r="E38" s="2603"/>
      <c r="F38" s="2603"/>
      <c r="G38" s="2603"/>
      <c r="H38" s="2603"/>
      <c r="I38" s="2603"/>
      <c r="J38" s="2603"/>
      <c r="K38" s="2603"/>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3"/>
      <c r="C41" s="2603"/>
      <c r="D41" s="2603"/>
      <c r="E41" s="2603"/>
      <c r="F41" s="2603"/>
      <c r="G41" s="2603"/>
      <c r="H41" s="2603"/>
      <c r="I41" s="2603"/>
      <c r="J41" s="2603"/>
      <c r="K41" s="2603"/>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88" t="str">
        <f>'Single Audit Cover'!A7</f>
        <v xml:space="preserve">   Northwestern CUSD 2</v>
      </c>
      <c r="C1" s="2588"/>
      <c r="D1" s="2588"/>
      <c r="E1" s="1233"/>
    </row>
    <row r="2" spans="2:5" s="1051" customFormat="1" ht="12.75" customHeight="1" x14ac:dyDescent="0.2">
      <c r="B2" s="2590">
        <f>'Single Audit Cover'!E7</f>
        <v>40056002026</v>
      </c>
      <c r="C2" s="2590"/>
      <c r="D2" s="2590"/>
      <c r="E2" s="1234"/>
    </row>
    <row r="3" spans="2:5" ht="12.75" customHeight="1" x14ac:dyDescent="0.2">
      <c r="B3" s="2604" t="s">
        <v>1746</v>
      </c>
      <c r="C3" s="2604"/>
      <c r="D3" s="2604"/>
      <c r="E3" s="1043"/>
    </row>
    <row r="4" spans="2:5" s="1051" customFormat="1" ht="12.75" customHeight="1" x14ac:dyDescent="0.2">
      <c r="B4" s="2614" t="str">
        <f>'Single Audit Cover'!A4</f>
        <v>Year Ending June 30, 2020</v>
      </c>
      <c r="C4" s="2614"/>
      <c r="D4" s="2614"/>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d21dc803-237d-4c68-8692-8d731fd29118"/>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 (2)</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 Tort (v1) 32-33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2020-11-09T20:12:49Z</cp:lastPrinted>
  <dcterms:created xsi:type="dcterms:W3CDTF">2003-10-29T19:06:34Z</dcterms:created>
  <dcterms:modified xsi:type="dcterms:W3CDTF">2020-11-11T00:19:08Z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