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90D40E6-4DEC-4971-B121-71BB619CBD7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B5752" i="106"/>
  <c r="D5752" i="106" s="1"/>
  <c r="H33" i="118" l="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K342" i="29"/>
  <c r="F13" i="34" s="1"/>
  <c r="B6216" i="106"/>
  <c r="D6216" i="106" s="1"/>
  <c r="F41" i="108"/>
  <c r="G43" i="108" s="1"/>
  <c r="B1381" i="106"/>
  <c r="D138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<sst xmlns="http://schemas.openxmlformats.org/spreadsheetml/2006/main" count="5193" uniqueCount="2108">
  <si>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</si>
  <si>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</si>
  <si>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</si>
  <si>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</si>
  <si>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</si>
  <si>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</si>
  <si>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</si>
  <si>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</si>
  <si>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</si>
  <si>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</si>
  <si>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</si>
  <si>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</si>
  <si>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</si>
  <si>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</si>
  <si>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</si>
  <si>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</si>
  <si>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</si>
  <si>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</si>
  <si>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</si>
  <si>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</si>
  <si>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</si>
  <si>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</si>
  <si>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</si>
  <si>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</si>
  <si>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</si>
  <si>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</si>
  <si>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</si>
  <si>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</si>
  <si>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</si>
  <si>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</si>
  <si>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</si>
  <si>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</si>
  <si>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</si>
  <si>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</si>
  <si>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</si>
  <si>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</si>
  <si>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</si>
  <si>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</si>
  <si>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</si>
  <si>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</si>
  <si>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</si>
  <si>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</si>
  <si>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</si>
  <si>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</si>
  <si>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</si>
  <si>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</si>
  <si>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</si>
  <si>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</si>
  <si>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</si>
  <si>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</si>
  <si>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</si>
  <si>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</si>
  <si>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</si>
  <si>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</si>
  <si>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</si>
  <si>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</si>
  <si>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</si>
  <si>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</si>
  <si>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</si>
  <si>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</si>
  <si>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</si>
  <si>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</si>
  <si>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</si>
  <si>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</si>
  <si>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</si>
  <si>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</si>
  <si>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</si>
  <si>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</si>
  <si>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</si>
  <si>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</si>
  <si>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</si>
  <si>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</si>
  <si>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</si>
  <si>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</si>
  <si>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</si>
  <si>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</si>
  <si>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</si>
  <si>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</si>
  <si>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</si>
  <si>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</si>
  <si>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</si>
  <si>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</si>
  <si>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</si>
  <si>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</si>
  <si>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</si>
  <si>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</si>
  <si>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</si>
  <si>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</si>
  <si>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</si>
  <si>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</si>
  <si>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</si>
  <si>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</si>
  <si>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</si>
  <si>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</si>
  <si>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</si>
  <si>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</si>
  <si>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</si>
  <si>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</si>
  <si>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</si>
  <si>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</si>
  <si>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</si>
  <si>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</si>
  <si>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</si>
  <si>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</si>
  <si>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</si>
  <si>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</si>
  <si>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</si>
  <si>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</si>
  <si>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</si>
  <si>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</si>
  <si>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</si>
  <si>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</si>
  <si>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</si>
  <si>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</si>
  <si>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</si>
  <si>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</si>
  <si>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</si>
  <si>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</si>
  <si>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</si>
  <si>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</si>
  <si>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</si>
  <si>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</si>
  <si>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</si>
  <si>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</si>
  <si>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</si>
  <si>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</si>
  <si>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</si>
  <si>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</si>
  <si>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</si>
  <si>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</si>
  <si>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</si>
  <si>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</si>
  <si>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</si>
  <si>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</si>
  <si>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</si>
  <si>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</si>
  <si>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</si>
  <si>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</si>
  <si>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</si>
  <si>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</si>
  <si>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</si>
  <si>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</si>
  <si>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</si>
  <si>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</si>
  <si>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</si>
  <si>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</si>
  <si>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</si>
  <si>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</si>
  <si>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</si>
  <si>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</si>
  <si>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</si>
  <si>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</si>
  <si>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</si>
  <si>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</si>
  <si>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</si>
  <si>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</si>
  <si>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</si>
  <si>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</si>
  <si>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</si>
  <si>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</si>
  <si>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</si>
  <si>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</si>
  <si>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</si>
  <si>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</si>
  <si>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</si>
  <si>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</si>
  <si>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</si>
  <si>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</si>
  <si>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</si>
  <si>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</si>
  <si>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</si>
  <si>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</si>
  <si>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</si>
  <si>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</si>
  <si>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</si>
  <si>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</si>
  <si>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</si>
  <si>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</si>
  <si>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</si>
  <si>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</si>
  <si>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</si>
  <si>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</si>
  <si>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</si>
  <si>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</si>
  <si>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</si>
  <si>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</si>
  <si>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</si>
  <si>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</si>
  <si>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</si>
  <si>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</si>
  <si>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</si>
  <si>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</si>
  <si>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</si>
  <si>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</si>
  <si>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</si>
  <si>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</si>
  <si>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</si>
  <si>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</si>
  <si>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</si>
  <si>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</si>
  <si>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</si>
  <si>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</si>
  <si>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</si>
  <si>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</si>
  <si>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</si>
  <si>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</si>
  <si>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</si>
  <si>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</si>
  <si>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</si>
  <si>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</si>
  <si>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</si>
  <si>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</si>
  <si>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</si>
  <si>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</si>
  <si>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</si>
  <si>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</si>
  <si>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</si>
  <si>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</si>
  <si>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</si>
  <si>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</si>
  <si>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</si>
  <si>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</si>
  <si>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</si>
  <si>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</si>
  <si>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</si>
  <si>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</si>
  <si>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</si>
  <si>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</si>
  <si>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</si>
  <si>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</si>
  <si>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</si>
  <si>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</si>
  <si>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</si>
  <si>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</si>
  <si>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</si>
  <si>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</si>
  <si>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</si>
  <si>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</si>
  <si>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</si>
  <si>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</si>
  <si>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</si>
  <si>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</si>
  <si>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</si>
  <si>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</si>
  <si>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</si>
  <si>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</si>
  <si>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</si>
  <si>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</si>
  <si>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</si>
  <si>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</si>
  <si>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</si>
  <si>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</si>
  <si>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</si>
  <si>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</si>
  <si>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</si>
  <si>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</si>
  <si>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</si>
  <si>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</si>
  <si>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</si>
  <si>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</si>
  <si>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</si>
  <si>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</si>
  <si>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</si>
  <si>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</si>
  <si>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</si>
  <si>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</si>
  <si>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</si>
  <si>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</si>
  <si>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</si>
  <si>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</si>
  <si>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</si>
  <si>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</si>
  <si>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</si>
  <si>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</si>
  <si>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</si>
  <si>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</si>
  <si>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</si>
  <si>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</si>
  <si>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</si>
  <si>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</si>
  <si>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</si>
  <si>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</si>
  <si>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</si>
  <si>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</si>
  <si>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</si>
  <si>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</si>
  <si>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</si>
  <si>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</si>
  <si>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</si>
  <si>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</si>
  <si>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</si>
  <si>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</si>
  <si>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</si>
  <si>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</si>
  <si>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</si>
  <si>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</si>
  <si>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</si>
  <si>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</si>
  <si>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</si>
  <si>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</si>
  <si>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</si>
  <si>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</si>
  <si>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</si>
  <si>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</si>
  <si>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</si>
  <si>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</si>
  <si>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</si>
  <si>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</si>
  <si>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</si>
  <si>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</si>
  <si>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</si>
  <si>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</si>
  <si>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</si>
  <si>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</si>
  <si>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</si>
  <si>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</si>
  <si>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</si>
  <si>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</si>
  <si>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</si>
  <si>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</si>
  <si>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</si>
  <si>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</si>
  <si>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</si>
  <si>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</si>
  <si>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</si>
  <si>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</si>
  <si>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</si>
  <si>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</si>
  <si>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</si>
  <si>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</si>
  <si>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</si>
  <si>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</si>
  <si>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</si>
  <si>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</si>
  <si>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</si>
  <si>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</si>
  <si>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</si>
  <si>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</si>
  <si>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</si>
  <si>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</si>
  <si>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</si>
  <si>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</si>
  <si>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</si>
  <si>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</si>
  <si>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</si>
  <si>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</si>
  <si>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</si>
  <si>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</si>
  <si>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</si>
  <si>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</si>
  <si>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</si>
  <si>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</si>
  <si>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</si>
  <si>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</si>
  <si>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</si>
  <si>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</si>
  <si>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</si>
  <si>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</si>
  <si>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</si>
  <si>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</si>
  <si>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</si>
  <si>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</si>
  <si>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</si>
  <si>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</si>
  <si>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</si>
  <si>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</si>
  <si>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</si>
  <si>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</si>
  <si>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</si>
  <si>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</si>
  <si>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</si>
  <si>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</si>
  <si>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</si>
  <si>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</si>
  <si>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</si>
  <si>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</si>
  <si>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</si>
  <si>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</si>
  <si>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</si>
  <si>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</si>
  <si>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</si>
  <si>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</si>
  <si>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</si>
  <si>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</si>
  <si>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</si>
  <si>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</si>
  <si>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</si>
  <si>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</si>
  <si>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</si>
  <si>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</si>
  <si>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</si>
  <si>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</si>
  <si>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</si>
  <si>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</si>
  <si>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</si>
  <si>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</si>
  <si>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</si>
  <si>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</si>
  <si>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</si>
  <si>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</si>
  <si>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</si>
  <si>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</si>
  <si>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</si>
  <si>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</si>
  <si>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</si>
  <si>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</si>
  <si>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</si>
  <si>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</si>
  <si>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</si>
  <si>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</si>
  <si>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</si>
  <si>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</si>
  <si>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</si>
  <si>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</si>
  <si>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</si>
  <si>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</si>
  <si>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</si>
  <si>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</si>
  <si>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</si>
  <si>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</si>
  <si>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</si>
  <si>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</si>
  <si>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</si>
  <si>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</si>
  <si>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</si>
  <si>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</si>
  <si>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</si>
  <si>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</si>
  <si>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</si>
  <si>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</si>
  <si>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</si>
  <si>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</si>
  <si>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</si>
  <si>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</si>
  <si>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</si>
  <si>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</si>
  <si>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</si>
  <si>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</si>
  <si>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</si>
  <si>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</si>
  <si>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</si>
  <si>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</si>
  <si>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</si>
  <si>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</si>
  <si>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</si>
  <si>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</si>
  <si>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</si>
  <si>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</si>
  <si>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</si>
  <si>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</si>
  <si>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</si>
  <si>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</si>
  <si>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</si>
  <si>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</si>
  <si>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</si>
  <si>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</si>
  <si>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</si>
  <si>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</si>
  <si>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</si>
  <si>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</si>
  <si>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</si>
  <si>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</si>
  <si>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</si>
  <si>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</si>
  <si>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</si>
  <si>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</si>
  <si>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</si>
  <si>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</si>
  <si>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</si>
  <si>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</si>
  <si>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</si>
  <si>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</si>
  <si>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</si>
  <si>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</si>
  <si>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</si>
  <si>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</si>
  <si>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</si>
  <si>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</si>
  <si>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</si>
  <si>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</si>
  <si>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</si>
  <si>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</si>
  <si>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</si>
  <si>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</si>
  <si>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</si>
  <si>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</si>
  <si>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</si>
  <si>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</si>
  <si>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</si>
  <si>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</si>
  <si>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</si>
  <si>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</si>
  <si>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</si>
  <si>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</si>
  <si>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</si>
  <si>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</si>
  <si>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</si>
  <si>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</si>
  <si>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</si>
  <si>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</si>
  <si>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</si>
  <si>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</si>
  <si>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</si>
  <si>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</si>
  <si>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</si>
  <si>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</si>
  <si>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</si>
  <si>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</si>
  <si>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</si>
  <si>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</si>
  <si>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</si>
  <si>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</si>
  <si>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</si>
  <si>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</si>
  <si>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</si>
  <si>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</si>
  <si>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</si>
  <si>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</si>
  <si>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</si>
  <si>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</si>
  <si>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</si>
  <si>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</si>
  <si>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</si>
  <si>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</si>
  <si>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</si>
  <si>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</si>
  <si>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</si>
  <si>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</si>
  <si>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</si>
  <si>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</si>
  <si>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</si>
  <si>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</si>
  <si>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</si>
  <si>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</si>
  <si>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</si>
  <si>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</si>
  <si>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</si>
  <si>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</si>
  <si>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</si>
  <si>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</si>
  <si>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</si>
  <si>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</si>
  <si>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</si>
  <si>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</si>
  <si>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</si>
  <si>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</si>
  <si>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</si>
  <si>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</si>
  <si>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</si>
  <si>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</si>
  <si>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</si>
  <si>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</si>
  <si>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</si>
  <si>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</si>
  <si>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</si>
  <si>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</si>
  <si>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</si>
  <si>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</si>
  <si>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</si>
  <si>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</si>
  <si>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</si>
  <si>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</si>
  <si>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</si>
  <si>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</si>
  <si>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</si>
  <si>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</si>
  <si>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</si>
  <si>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</si>
  <si>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</si>
  <si>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</si>
  <si>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</si>
  <si>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</si>
  <si>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</si>
  <si>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</si>
  <si>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</si>
  <si>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</si>
  <si>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</si>
  <si>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</si>
  <si>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</si>
  <si>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</si>
  <si>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</si>
  <si>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</si>
  <si>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</si>
  <si>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</si>
  <si>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</si>
  <si>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</si>
  <si>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</si>
  <si>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</si>
  <si>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</si>
  <si>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</si>
  <si>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</si>
  <si>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</si>
  <si>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</si>
  <si>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</si>
  <si>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</si>
  <si>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</si>
  <si>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</si>
  <si>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</si>
  <si>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</si>
  <si>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</si>
  <si>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</si>
  <si>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</si>
  <si>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</si>
  <si>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</si>
  <si>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</si>
  <si>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</si>
  <si>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</si>
  <si>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</si>
  <si>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</si>
  <si>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</si>
  <si>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</si>
  <si>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</si>
  <si>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</si>
  <si>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</si>
  <si>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</si>
  <si>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</si>
  <si>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</si>
  <si>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</si>
  <si>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</si>
  <si>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</si>
  <si>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</si>
  <si>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</si>
  <si>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</si>
  <si>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</si>
  <si>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</si>
  <si>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</si>
  <si>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</si>
  <si>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</si>
  <si>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</si>
  <si>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</si>
  <si>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</si>
  <si>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</si>
  <si>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</si>
  <si>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</si>
  <si>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</si>
  <si>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</si>
  <si>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</si>
  <si>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</si>
  <si>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</si>
  <si>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</si>
  <si>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</si>
  <si>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</si>
  <si>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</si>
  <si>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</si>
  <si>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</si>
  <si>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</si>
  <si>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</si>
  <si>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</si>
  <si>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</si>
  <si>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</si>
  <si>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</si>
  <si>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</si>
  <si>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</si>
  <si>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</si>
  <si>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</si>
  <si>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</si>
  <si>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</si>
  <si>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</si>
  <si>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</si>
  <si>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</si>
  <si>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</si>
  <si>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</si>
  <si>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</si>
  <si>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</si>
  <si>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</si>
  <si>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</si>
  <si>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</si>
  <si>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</si>
  <si>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</si>
  <si>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</si>
  <si>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</si>
  <si>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</si>
  <si>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</si>
  <si>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</si>
  <si>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</si>
  <si>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</si>
  <si>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</si>
  <si>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</si>
  <si>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</si>
  <si>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</si>
  <si>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</si>
  <si>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</si>
  <si>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</si>
  <si>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</si>
  <si>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</si>
  <si>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</si>
  <si>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</si>
  <si>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</si>
  <si>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</si>
  <si>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</si>
  <si>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</si>
  <si>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</si>
  <si>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</si>
  <si>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</si>
  <si>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</si>
  <si>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</si>
  <si>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</si>
  <si>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</si>
  <si>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</si>
  <si>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</si>
  <si>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</si>
  <si>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</si>
  <si>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</si>
  <si>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</si>
  <si>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</si>
  <si>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</si>
  <si>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</si>
  <si>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</si>
  <si>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</si>
  <si>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</si>
  <si>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</si>
  <si>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</si>
  <si>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</si>
  <si>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</si>
  <si>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</si>
  <si>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</si>
  <si>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</si>
  <si>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</si>
  <si>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</si>
  <si>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</si>
  <si>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</si>
  <si>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</si>
  <si>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</si>
  <si>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</si>
  <si>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</si>
  <si>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</si>
  <si>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</si>
  <si>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</si>
  <si>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</si>
  <si>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</si>
  <si>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</si>
  <si>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</si>
  <si>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</si>
  <si>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</si>
  <si>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</si>
  <si>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</si>
  <si>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</si>
  <si>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</si>
  <si>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</si>
  <si>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</si>
  <si>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</si>
  <si>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</si>
  <si>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</si>
  <si>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</si>
  <si>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</si>
  <si>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</si>
  <si>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</si>
  <si>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</si>
  <si>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</si>
  <si>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</si>
  <si>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</si>
  <si>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</si>
  <si>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</si>
  <si>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</si>
  <si>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</si>
  <si>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</si>
  <si>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</si>
  <si>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</si>
  <si>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</si>
  <si>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</si>
  <si>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</si>
  <si>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</si>
  <si>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</si>
  <si>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</si>
  <si>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</si>
  <si>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</si>
  <si>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</si>
  <si>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</si>
  <si>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</si>
  <si>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</si>
  <si>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</si>
  <si>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</si>
  <si>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</si>
  <si>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</si>
  <si>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</si>
  <si>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</si>
  <si>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</si>
  <si>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</si>
  <si>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</si>
  <si>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</si>
  <si>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</si>
  <si>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</si>
  <si>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</si>
  <si>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</si>
  <si>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</si>
  <si>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</si>
  <si>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</si>
  <si>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</si>
  <si>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</si>
  <si>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</si>
  <si>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</si>
  <si>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</si>
  <si>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</si>
  <si>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</si>
  <si>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</si>
  <si>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</si>
  <si>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</si>
  <si>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</si>
  <si>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</si>
  <si>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</si>
  <si>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</si>
  <si>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</si>
  <si>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</si>
  <si>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</si>
  <si>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</si>
  <si>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</si>
  <si>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</si>
  <si>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</si>
  <si>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</si>
  <si>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</si>
  <si>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</si>
  <si>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</si>
  <si>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</si>
  <si>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</si>
  <si>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</si>
  <si>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</si>
  <si>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</si>
  <si>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</si>
  <si>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</si>
  <si>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</si>
  <si>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</si>
  <si>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</si>
  <si>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</si>
  <si>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</si>
  <si>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</si>
  <si>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</si>
  <si>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</si>
  <si>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</si>
  <si>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</si>
  <si>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</si>
  <si>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</si>
  <si>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</si>
  <si>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</si>
  <si>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</si>
  <si>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</si>
  <si>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</si>
  <si>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</si>
  <si>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</si>
  <si>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</si>
  <si>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</si>
  <si>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</si>
  <si>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</si>
  <si>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</si>
  <si>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</si>
  <si>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</si>
  <si>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</si>
  <si>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</si>
  <si>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</si>
  <si>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</si>
  <si>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</si>
  <si>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</si>
  <si>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</si>
  <si>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</si>
  <si>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</si>
  <si>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</si>
  <si>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</si>
  <si>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</si>
  <si>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</si>
  <si>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</si>
  <si>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</si>
  <si>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</si>
  <si>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</si>
  <si>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</si>
  <si>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</si>
  <si>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</si>
  <si>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</si>
  <si>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</si>
  <si>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</si>
  <si>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</si>
  <si>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</si>
  <si>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</si>
  <si>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</si>
  <si>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</si>
  <si>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</si>
  <si>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</si>
  <si>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</si>
  <si>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</si>
  <si>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</si>
  <si>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</si>
  <si>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</si>
  <si>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</si>
  <si>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</si>
  <si>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</si>
  <si>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</si>
  <si>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</si>
  <si>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</si>
  <si>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</si>
  <si>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</si>
  <si>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</si>
  <si>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</si>
  <si>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</si>
  <si>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</si>
  <si>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</si>
  <si>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</si>
  <si>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</si>
  <si>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</si>
  <si>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</si>
  <si>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</si>
  <si>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</si>
  <si>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</si>
  <si>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</si>
  <si>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</si>
  <si>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</si>
  <si>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</si>
  <si>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</si>
  <si>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</si>
  <si>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</si>
  <si>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</si>
  <si>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</si>
  <si>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</si>
  <si>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</si>
  <si>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</si>
  <si>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</si>
  <si>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</si>
  <si>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</si>
  <si>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</si>
  <si>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</si>
  <si>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</si>
  <si>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</si>
  <si>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</si>
  <si>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</si>
  <si>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</si>
  <si>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</si>
  <si>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</si>
  <si>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</si>
  <si>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</si>
  <si>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</si>
  <si>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</si>
  <si>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</si>
  <si>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</si>
  <si>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</si>
  <si>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</si>
  <si>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</si>
  <si>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</si>
  <si>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</si>
  <si>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</si>
  <si>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</si>
  <si>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</si>
  <si>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</si>
  <si>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</si>
  <si>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</si>
  <si>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</si>
  <si>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</si>
  <si>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</si>
  <si>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</si>
  <si>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</si>
  <si>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</si>
  <si>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</si>
  <si>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</si>
  <si>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</si>
  <si>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</si>
  <si>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</si>
  <si>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</si>
  <si>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</si>
  <si>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</si>
  <si>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</si>
  <si>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</si>
  <si>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</si>
  <si>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</si>
  <si>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</si>
  <si>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</si>
  <si>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</si>
  <si>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</si>
  <si>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</si>
  <si>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</si>
  <si>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</si>
  <si>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</si>
  <si>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</si>
  <si>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</si>
  <si>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</si>
  <si>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</si>
  <si>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</si>
  <si>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</si>
  <si>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</si>
  <si>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</si>
  <si>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</si>
  <si>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</si>
  <si>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</si>
  <si>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</si>
  <si>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</si>
  <si>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</si>
  <si>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</si>
  <si>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</si>
  <si>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</si>
  <si>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</si>
  <si>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</si>
  <si>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</si>
  <si>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</si>
  <si>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</si>
  <si>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</si>
  <si>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</si>
  <si>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</si>
  <si>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</si>
  <si>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</si>
  <si>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</si>
  <si>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</si>
  <si>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</si>
  <si>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</si>
  <si>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</si>
  <si>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</si>
  <si>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</si>
  <si>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</si>
  <si>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</si>
  <si>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</si>
  <si>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</si>
  <si>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</si>
  <si>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</si>
  <si>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</si>
  <si>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</si>
  <si>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</si>
  <si>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</si>
  <si>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</si>
  <si>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</si>
  <si>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</si>
  <si>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</si>
  <si>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</si>
  <si>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</si>
  <si>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</si>
  <si>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</si>
  <si>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</si>
  <si>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</si>
  <si>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</si>
  <si>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</si>
  <si>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</si>
  <si>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</si>
  <si>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</si>
  <si>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</si>
  <si>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</si>
  <si>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</si>
  <si>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</si>
  <si>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</si>
  <si>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</si>
  <si>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</si>
  <si>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</si>
  <si>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</si>
  <si>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</si>
  <si>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</si>
  <si>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</si>
  <si>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</si>
  <si>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</si>
  <si>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</si>
  <si>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</si>
  <si>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</si>
  <si>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</si>
  <si>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</si>
  <si>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</si>
  <si>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</si>
  <si>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</si>
  <si>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</si>
  <si>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</si>
  <si>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</si>
  <si>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</si>
  <si>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</si>
  <si>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</si>
  <si>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</si>
  <si>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</si>
  <si>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</si>
  <si>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</si>
  <si>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</si>
  <si>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</si>
  <si>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</si>
  <si>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</si>
  <si>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</si>
  <si>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</si>
  <si>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</si>
  <si>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</si>
  <si>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</si>
  <si>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</si>
  <si>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</si>
  <si>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</si>
  <si>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</si>
  <si>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</si>
  <si>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</si>
  <si>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</si>
  <si>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</si>
  <si>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</si>
  <si>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</si>
  <si>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</si>
  <si>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</si>
  <si>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</si>
  <si>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</si>
  <si>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</si>
  <si>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</si>
  <si>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</si>
  <si>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</si>
  <si>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</si>
  <si>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</si>
  <si>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</si>
  <si>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</si>
  <si>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</si>
  <si>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</si>
  <si>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</si>
  <si>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</si>
  <si>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</si>
  <si>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</si>
  <si>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</si>
  <si>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</si>
  <si>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</si>
  <si>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</si>
  <si>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</si>
  <si>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</si>
  <si>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</si>
  <si>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</si>
  <si>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</si>
  <si>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</si>
  <si>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</si>
  <si>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</si>
  <si>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</si>
  <si>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</si>
  <si>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</si>
  <si>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</si>
  <si>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</si>
  <si>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</si>
  <si>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</si>
  <si>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</si>
  <si>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</si>
  <si>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</si>
  <si>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</si>
  <si>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</si>
  <si>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</si>
  <si>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</si>
  <si>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</si>
  <si>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</si>
  <si>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</si>
  <si>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</si>
  <si>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</si>
  <si>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</si>
  <si>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</si>
  <si>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</si>
  <si>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</si>
  <si>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</si>
  <si>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</si>
  <si>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</si>
  <si>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</si>
  <si>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</si>
  <si>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</si>
  <si>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</si>
  <si>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</si>
  <si>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</si>
  <si>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</si>
  <si>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</si>
  <si>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</si>
  <si>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</si>
  <si>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</si>
  <si>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</si>
  <si>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</si>
  <si>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</si>
  <si>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</si>
  <si>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</si>
  <si>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</si>
  <si>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</si>
  <si>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</si>
  <si>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</si>
  <si>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</si>
  <si>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</si>
  <si>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</si>
  <si>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</si>
  <si>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</si>
  <si>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</si>
  <si>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</si>
  <si>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</si>
  <si>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</si>
  <si>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</si>
  <si>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</si>
  <si>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</si>
  <si>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</si>
  <si>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</si>
  <si>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</si>
  <si>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</si>
  <si>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</si>
  <si>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</si>
  <si>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</si>
  <si>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</si>
  <si>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</si>
  <si>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</si>
  <si>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</si>
  <si>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</si>
  <si>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</si>
  <si>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</si>
  <si>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</si>
  <si>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</si>
  <si>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</si>
  <si>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</si>
  <si>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</si>
  <si>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</si>
  <si>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</si>
  <si>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</si>
  <si>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</si>
  <si>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</si>
  <si>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</si>
  <si>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</si>
  <si>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</si>
  <si>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</si>
  <si>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</si>
  <si>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</si>
  <si>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</si>
  <si>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</si>
  <si>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</si>
  <si>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</si>
  <si>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</si>
  <si>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</si>
  <si>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</si>
  <si>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</si>
  <si>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</si>
  <si>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</si>
  <si>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</si>
  <si>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</si>
  <si>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</si>
  <si>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</si>
  <si>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</si>
  <si>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</si>
  <si>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</si>
  <si>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</si>
  <si>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</si>
  <si>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</si>
  <si>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</si>
  <si>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</si>
  <si>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</si>
  <si>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</si>
  <si>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</si>
  <si>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</si>
  <si>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</si>
  <si>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</si>
  <si>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</si>
  <si>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</si>
  <si>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</si>
  <si>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</si>
  <si>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</si>
  <si>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</si>
  <si>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</si>
  <si>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</si>
  <si>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</si>
  <si>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</si>
  <si>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</si>
  <si>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</si>
  <si>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</si>
  <si>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</si>
  <si>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</si>
  <si>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</si>
  <si>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</si>
  <si>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</si>
  <si>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</si>
  <si>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</si>
  <si>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</si>
  <si>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</si>
  <si>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</si>
  <si>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</si>
  <si>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</si>
  <si>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</si>
  <si>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</si>
  <si>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</si>
  <si>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</si>
  <si>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</si>
  <si>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</si>
  <si>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</si>
  <si>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</si>
  <si>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</si>
  <si>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</si>
  <si>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</si>
  <si>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</si>
  <si>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</si>
  <si>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</si>
  <si>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</si>
  <si>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</si>
  <si>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</si>
  <si>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</si>
  <si>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</si>
  <si>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</si>
  <si>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</si>
  <si>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</si>
  <si>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</si>
  <si>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</si>
  <si>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</si>
  <si>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</si>
  <si>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</si>
  <si>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</si>
  <si>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</si>
  <si>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</si>
  <si>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</si>
  <si>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</si>
  <si>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</si>
  <si>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</si>
  <si>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</si>
  <si>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</si>
  <si>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</si>
  <si>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</si>
  <si>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</si>
  <si>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</si>
  <si>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</si>
  <si>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</si>
  <si>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</si>
  <si>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</si>
  <si>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</si>
  <si>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</si>
  <si>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</si>
  <si>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</si>
  <si>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</si>
  <si>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</si>
  <si>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</si>
  <si>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</si>
  <si>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</si>
  <si>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</si>
  <si>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</si>
  <si>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</si>
  <si>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</si>
  <si>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</si>
  <si>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</si>
  <si>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</si>
  <si>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</si>
  <si>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</si>
  <si>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</si>
  <si>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</si>
  <si>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</si>
  <si>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</si>
  <si>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</si>
  <si>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</si>
  <si>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</si>
  <si>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</si>
  <si>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</si>
  <si>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</si>
  <si>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</si>
  <si>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</si>
  <si>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</si>
  <si>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</si>
  <si>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</si>
  <si>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</si>
  <si>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</si>
  <si>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</si>
  <si>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</si>
  <si>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</si>
  <si>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</si>
  <si>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</si>
  <si>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</si>
  <si>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</si>
  <si>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</si>
  <si>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</si>
  <si>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</si>
  <si>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</si>
  <si>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</si>
  <si>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</si>
  <si>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</si>
  <si>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</si>
  <si>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</si>
  <si>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</si>
  <si>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</si>
  <si>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</si>
  <si>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</si>
  <si>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</si>
  <si>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</si>
  <si>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</si>
  <si>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</si>
  <si>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</si>
  <si>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</si>
  <si>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</si>
  <si>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</si>
  <si>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</si>
  <si>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</si>
  <si>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</si>
  <si>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</si>
  <si>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</si>
  <si>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</si>
  <si>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</si>
  <si>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</si>
  <si>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</si>
  <si>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</si>
  <si>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</si>
  <si>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</si>
  <si>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</si>
  <si>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</si>
  <si>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</si>
  <si>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</si>
  <si>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</si>
  <si>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</si>
  <si>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</si>
  <si>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</si>
  <si>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</si>
  <si>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</si>
  <si>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</si>
  <si>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</si>
  <si>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</si>
  <si>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</si>
  <si>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</si>
  <si>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</si>
  <si>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</si>
  <si>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</si>
  <si>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</si>
  <si>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</si>
  <si>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</si>
  <si>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</si>
  <si>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</si>
  <si>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</si>
  <si>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</si>
  <si>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</si>
  <si>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</si>
  <si>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</si>
  <si>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</si>
  <si>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</si>
  <si>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</si>
  <si>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</si>
  <si>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</si>
  <si>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</si>
  <si>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</si>
  <si>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</si>
  <si>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</si>
  <si>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</si>
  <si>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</si>
  <si>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</si>
  <si>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</si>
  <si>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</si>
  <si>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</si>
  <si>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</si>
  <si>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</si>
  <si>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</si>
  <si>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</si>
  <si>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</si>
  <si>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</si>
  <si>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</si>
  <si>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</si>
  <si>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</si>
  <si>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</si>
  <si>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</si>
  <si>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</si>
  <si>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</si>
  <si>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</si>
  <si>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</si>
  <si>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</si>
  <si>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</si>
  <si>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</si>
  <si>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</si>
  <si>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</si>
  <si>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</si>
  <si>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</si>
  <si>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</si>
  <si>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</si>
  <si>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</si>
  <si>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</si>
  <si>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</si>
  <si>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</si>
  <si>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</si>
  <si>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</si>
  <si>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</si>
  <si>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</si>
  <si>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</si>
  <si>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</si>
  <si>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</si>
  <si>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</si>
  <si>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</si>
  <si>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</si>
  <si>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</si>
  <si>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</si>
  <si>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</si>
  <si>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</si>
  <si>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</si>
  <si>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</si>
  <si>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</si>
  <si>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</si>
  <si>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</si>
  <si>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</si>
  <si>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</si>
  <si>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</si>
  <si>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</si>
  <si>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</si>
  <si>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</si>
  <si>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</si>
  <si>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</si>
  <si>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</si>
  <si>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</si>
  <si>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</si>
  <si>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</si>
  <si>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</si>
  <si>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</si>
  <si>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</si>
  <si>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</si>
  <si>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</si>
  <si>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</si>
  <si>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</si>
  <si>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</si>
  <si>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</si>
  <si>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</si>
  <si>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</si>
  <si>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</si>
  <si>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</si>
  <si>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</si>
  <si>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</si>
  <si>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</si>
  <si>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</si>
  <si>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</si>
  <si>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</si>
  <si>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</si>
  <si>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</si>
  <si>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</si>
  <si>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</si>
  <si>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</si>
  <si>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</si>
  <si>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</si>
  <si>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</si>
  <si>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</si>
  <si>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</si>
  <si>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</si>
  <si>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</si>
  <si>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</si>
  <si>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</si>
  <si>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</si>
  <si>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</si>
  <si>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</si>
  <si>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</si>
  <si>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</si>
  <si>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</si>
  <si>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</si>
  <si>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</si>
  <si>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</si>
  <si>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</si>
  <si>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</si>
  <si>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</si>
  <si>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</si>
  <si>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</si>
  <si>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</si>
  <si>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</si>
  <si>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</si>
  <si>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</si>
  <si>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</si>
  <si>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</si>
  <si>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</si>
  <si>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</si>
  <si>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</si>
  <si>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</si>
  <si>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</si>
  <si>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</si>
  <si>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</si>
  <si>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</si>
  <si>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</si>
  <si>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</si>
  <si>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</si>
  <si>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</si>
  <si>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</si>
  <si>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</si>
  <si>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</si>
  <si>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</si>
  <si>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</si>
  <si>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</si>
  <si>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</si>
  <si>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</si>
  <si>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</si>
  <si>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</si>
  <si>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</si>
  <si>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</si>
  <si>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</si>
  <si>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</si>
  <si>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</si>
  <si>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</si>
  <si>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</si>
  <si>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</si>
  <si>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</si>
  <si>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</si>
  <si>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</si>
  <si>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</si>
  <si>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</si>
  <si>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</si>
  <si>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</si>
  <si>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</si>
  <si>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</si>
  <si>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</si>
  <si>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</si>
  <si>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</si>
  <si>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</si>
  <si>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</si>
  <si>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</si>
  <si>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</si>
  <si>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</si>
  <si>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</si>
  <si>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</si>
  <si>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</si>
  <si>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</si>
  <si>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</si>
  <si>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</si>
  <si>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</si>
  <si>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</si>
  <si>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</si>
  <si>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</si>
  <si>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</si>
  <si>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</si>
  <si>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</si>
  <si>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</si>
  <si>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</si>
  <si>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</si>
  <si>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</si>
  <si>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</si>
  <si>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</si>
  <si>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</si>
  <si>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</si>
  <si>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</si>
  <si>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</si>
  <si>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</si>
  <si>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</si>
  <si>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</si>
  <si>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</si>
  <si>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</si>
  <si>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</si>
  <si>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</si>
  <si>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</si>
  <si>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</si>
  <si>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</si>
  <si>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</si>
  <si>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</si>
  <si>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</si>
  <si>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</si>
  <si>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</si>
  <si>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</si>
  <si>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</si>
  <si>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</si>
  <si>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</si>
  <si>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</si>
  <si>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</si>
  <si>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</si>
  <si>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</si>
  <si>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</si>
  <si>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</si>
  <si>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</si>
  <si>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</si>
  <si>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</si>
  <si>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</si>
  <si>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</si>
  <si>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</si>
  <si>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</si>
  <si>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</si>
  <si>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</si>
  <si>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</si>
  <si>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</si>
  <si>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</si>
  <si>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</si>
  <si>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</si>
  <si>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</si>
  <si>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</si>
  <si>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</si>
  <si>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</si>
  <si>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</si>
  <si>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</si>
  <si>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</si>
  <si>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</si>
  <si>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</si>
  <si>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</si>
  <si>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</si>
  <si>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</si>
  <si>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</si>
  <si>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</si>
  <si>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</si>
  <si>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</si>
  <si>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</si>
  <si>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</si>
  <si>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</si>
  <si>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</si>
  <si>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</si>
  <si>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</si>
  <si>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</si>
  <si>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</si>
  <si>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</si>
  <si>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</si>
  <si>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</si>
  <si>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</si>
  <si>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</si>
  <si>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</si>
  <si>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</si>
  <si>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</si>
  <si>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</si>
  <si>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</si>
  <si>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</si>
  <si>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</si>
  <si>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</si>
  <si>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</si>
  <si>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</si>
  <si>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</si>
  <si>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</si>
  <si>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</si>
  <si>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</si>
  <si>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</si>
  <si>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</si>
  <si>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</si>
  <si>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</si>
  <si>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</si>
  <si>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</si>
  <si>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</si>
  <si>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</si>
  <si>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</si>
  <si>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</si>
  <si>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</si>
  <si>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</si>
  <si>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</si>
  <si>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</si>
  <si>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</si>
  <si>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</si>
  <si>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</si>
  <si>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</si>
  <si>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</si>
  <si>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</si>
  <si>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</si>
  <si>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</si>
  <si>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</si>
  <si>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</si>
  <si>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</si>
  <si>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</si>
  <si>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</si>
  <si>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</si>
  <si>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</si>
  <si>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</si>
  <si>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</si>
  <si>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</si>
  <si>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</si>
  <si>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</si>
  <si>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</si>
  <si>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</si>
  <si>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</si>
  <si>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</si>
  <si>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</si>
  <si>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</si>
  <si>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</si>
  <si>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</si>
  <si>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</si>
  <si>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</si>
  <si>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</si>
  <si>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</si>
  <si>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</si>
  <si>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</si>
  <si>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</si>
  <si>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</si>
  <si>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</si>
  <si>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</si>
  <si>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</si>
  <si>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</si>
  <si>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</si>
  <si>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</si>
  <si>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</si>
  <si>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</si>
  <si>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</si>
  <si>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</si>
  <si>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</si>
  <si>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</si>
  <si>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</si>
  <si>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</si>
  <si>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</si>
  <si>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</si>
  <si>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</si>
  <si>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</si>
  <si>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</si>
  <si>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</si>
  <si>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</si>
  <si>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</si>
  <si>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</si>
  <si>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</si>
  <si>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</si>
  <si>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</si>
  <si>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</si>
  <si>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</si>
  <si>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</si>
  <si>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</si>
  <si>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</si>
  <si>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</si>
  <si>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</si>
  <si>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</si>
  <si>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</si>
  <si>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</si>
  <si>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</si>
  <si>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</si>
  <si>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</si>
  <si>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</si>
  <si>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</si>
  <si>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</si>
  <si>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</si>
  <si>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</si>
  <si>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</si>
  <si>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</si>
  <si>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</si>
  <si>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</si>
  <si>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</si>
  <si>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</si>
  <si>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</si>
  <si>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</si>
  <si>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</si>
  <si>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</si>
  <si>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</si>
  <si>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</si>
  <si>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</si>
  <si>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</si>
  <si>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</si>
  <si>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</si>
  <si>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</si>
  <si>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</si>
  <si>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</si>
  <si>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</si>
  <si>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</si>
  <si>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</si>
  <si>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</si>
  <si>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</si>
  <si>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</si>
  <si>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</si>
  <si>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</si>
  <si>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</si>
  <si>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</si>
  <si>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</si>
  <si>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</si>
  <si>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</si>
  <si>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</si>
  <si>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</si>
  <si>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</si>
  <si>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</si>
  <si>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</si>
  <si>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</si>
  <si>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</si>
  <si>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</si>
  <si>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</si>
  <si>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</si>
  <si>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</si>
  <si>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</si>
  <si>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</si>
  <si>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</si>
  <si>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</si>
  <si>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</si>
  <si>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</si>
  <si>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</si>
  <si>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</si>
  <si>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</si>
  <si>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</si>
  <si>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</si>
  <si>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</si>
  <si>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</si>
  <si>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</si>
  <si>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</si>
  <si>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</si>
  <si>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</si>
  <si>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</si>
  <si>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</si>
  <si>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</si>
  <si>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</si>
  <si>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</si>
  <si>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</si>
  <si>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</si>
  <si>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</si>
  <si>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</si>
  <si>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</si>
  <si>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</si>
  <si>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</si>
  <si>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</si>
  <si>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</si>
  <si>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</si>
  <si>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</si>
  <si>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</si>
  <si>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</si>
  <si>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</si>
  <si>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</si>
  <si>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</si>
  <si>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</si>
  <si>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</si>
  <si>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</si>
  <si>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</si>
  <si>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</si>
  <si>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</si>
  <si>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</si>
  <si>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</si>
  <si>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</si>
  <si>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</si>
  <si>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</si>
  <si>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</si>
  <si>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</si>
  <si>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</si>
  <si>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</si>
  <si>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</si>
  <si>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</si>
  <si>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</si>
  <si>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</si>
  <si>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</si>
  <si>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</si>
  <si>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</si>
  <si>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</si>
  <si>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</si>
  <si>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</si>
  <si>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</si>
  <si>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</si>
  <si>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</si>
  <si>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</si>
  <si>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</si>
  <si>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</si>
  <si>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</si>
  <si>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</si>
  <si>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</si>
  <si>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</si>
  <si>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</si>
  <si>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</si>
  <si>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</si>
  <si>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</si>
  <si>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</si>
  <si>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</si>
  <si>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</si>
  <si>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</si>
  <si>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</si>
  <si>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</si>
  <si>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</si>
  <si>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</si>
  <si>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</si>
  <si>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</si>
  <si>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</si>
  <si>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</si>
  <si>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</si>
  <si>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</si>
  <si>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</si>
  <si>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</si>
  <si>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</si>
  <si>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</si>
  <si>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</si>
  <si>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</si>
  <si>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</si>
  <si>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</si>
  <si>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</si>
  <si>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</si>
  <si>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</si>
  <si>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</si>
  <si>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</si>
  <si>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</si>
  <si>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</si>
  <si>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</si>
  <si>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</si>
  <si>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</si>
  <si>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</si>
  <si>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</si>
  <si>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</si>
  <si>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</si>
  <si>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</si>
  <si>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</si>
  <si>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</si>
  <si>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</si>
  <si>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</si>
  <si>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</si>
  <si>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</si>
  <si>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</si>
  <si>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</si>
  <si>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</si>
  <si>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</si>
  <si>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</si>
  <si>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</si>
  <si>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</si>
  <si>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</si>
  <si>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</si>
  <si>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</si>
  <si>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</si>
  <si>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</si>
  <si>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</si>
  <si>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</si>
  <si>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</si>
  <si>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</si>
  <si>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</si>
  <si>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</si>
  <si>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</si>
  <si>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</si>
  <si>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</si>
  <si>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</si>
  <si>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</si>
  <si>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</si>
  <si>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</si>
  <si>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</si>
  <si>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</si>
  <si>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</si>
  <si>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</si>
  <si>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</si>
  <si>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</si>
  <si>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</si>
  <si>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</si>
  <si>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</si>
  <si>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</si>
  <si>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</si>
  <si>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</si>
  <si>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</si>
  <si>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</si>
  <si>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</si>
  <si>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</si>
  <si>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</si>
  <si>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</si>
  <si>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</si>
  <si>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</si>
  <si>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</si>
  <si>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</si>
  <si>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</si>
  <si>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</si>
  <si>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</si>
  <si>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</si>
  <si>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</si>
  <si>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</si>
  <si>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</si>
  <si>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</si>
  <si>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</si>
  <si>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</si>
  <si>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</si>
  <si>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</si>
  <si>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</si>
  <si>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</si>
  <si>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</si>
  <si>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</si>
  <si>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</si>
  <si>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</si>
  <si>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</si>
  <si>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</si>
  <si>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</si>
  <si>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</si>
  <si>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</si>
  <si>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</si>
  <si>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</si>
  <si>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</si>
  <si>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</si>
  <si>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</si>
  <si>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</si>
  <si>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</si>
  <si>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</si>
  <si>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</si>
  <si>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</si>
  <si>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</si>
  <si>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</si>
  <si>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</si>
  <si>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</si>
  <si>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</si>
  <si>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</si>
  <si>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</si>
  <si>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</si>
  <si>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</si>
  <si>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</si>
  <si>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</si>
  <si>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</si>
  <si>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</si>
  <si>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</si>
  <si>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</si>
  <si>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</si>
  <si>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</si>
  <si>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</si>
  <si>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</si>
  <si>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</si>
  <si>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</si>
  <si>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</si>
  <si>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</si>
  <si>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</si>
  <si>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</si>
  <si>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</si>
  <si>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</si>
  <si>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</si>
  <si>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</si>
  <si>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</si>
  <si>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</si>
  <si>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</si>
  <si>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</si>
  <si>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</si>
  <si>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</si>
  <si>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</si>
  <si>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</si>
  <si>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</si>
  <si>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</si>
  <si>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</si>
  <si>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</si>
  <si>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PIATT</t>
  </si>
  <si>
    <t>201 S CHAMPAIGN ST</t>
  </si>
  <si>
    <t>BEMENT</t>
  </si>
  <si>
    <t>Sheila Greenwood</t>
  </si>
  <si>
    <t>sgreenwood@bement.k12.il.us</t>
  </si>
  <si>
    <t>217-678-4200</t>
  </si>
  <si>
    <t>217-678-4251</t>
  </si>
  <si>
    <t>RUSSELL LEIGH &amp; ASSOCIATES LLC</t>
  </si>
  <si>
    <t>RUSS LEIGH</t>
  </si>
  <si>
    <t>228 E MAIN ST</t>
  </si>
  <si>
    <t>HOOPESTON</t>
  </si>
  <si>
    <t>IL</t>
  </si>
  <si>
    <t>217-283-9336</t>
  </si>
  <si>
    <t>217-283-9736</t>
  </si>
  <si>
    <t>065.018319</t>
  </si>
  <si>
    <t>admin@russleigh.com</t>
  </si>
  <si>
    <t>Russell Leigh &amp; Associates LLC</t>
  </si>
  <si>
    <t>2009B working Cash Refunding Bonds</t>
  </si>
  <si>
    <t>2016 Working Cash Bonds</t>
  </si>
  <si>
    <t>Taxable General Obligation Bonds, Series 2017B (QZAB)</t>
  </si>
  <si>
    <t>2017 General Obligation School Bonds</t>
  </si>
  <si>
    <t>3, 6</t>
  </si>
  <si>
    <t>2018 General Obligation Refunding Bonds</t>
  </si>
  <si>
    <t>No applicable contracts paid in current year.</t>
  </si>
  <si>
    <t>Aramark</t>
  </si>
  <si>
    <t>Cerro Gordo School District #100</t>
  </si>
  <si>
    <t>Cerror Gordo School District #100</t>
  </si>
  <si>
    <t>Macon Piatt Special Educaiton Cooperative</t>
  </si>
  <si>
    <t>Cerro Gordo &amp; Education For Employment System #330</t>
  </si>
  <si>
    <t>Auditor's Questionnaire - #20 - Other Findings</t>
  </si>
  <si>
    <t>Various state and federal revenues were misposted.</t>
  </si>
  <si>
    <t>Page 8 - Acct 8990 - Other uses not classified elsewhere</t>
  </si>
  <si>
    <t>Col 30 - Debt Services</t>
  </si>
  <si>
    <t>Bond Issue Costs - $15,000</t>
  </si>
  <si>
    <t>Bonds Refunded - $635,000</t>
  </si>
  <si>
    <t>Page 10 - Acct 1719 - Admissions - Other</t>
  </si>
  <si>
    <t>Col 10 - Educational</t>
  </si>
  <si>
    <t>Miscellaneous Athletic Revenue - $6,502</t>
  </si>
  <si>
    <t>Page 11 - Acct 1999 - Other Local Revenues</t>
  </si>
  <si>
    <t>Col 10 - Educaitonal</t>
  </si>
  <si>
    <t>Refunds &amp; Reimbursements - $3,564</t>
  </si>
  <si>
    <t>Col 20 - Operations &amp; Maintenance</t>
  </si>
  <si>
    <t>Insurance Proceeds - $119,220</t>
  </si>
  <si>
    <t>Refunds &amp; Reimbursements - $5,102</t>
  </si>
  <si>
    <t>Page 11 - Acct 3299 - CTE - Other</t>
  </si>
  <si>
    <t>Other Vocational Revenue - $5,949</t>
  </si>
  <si>
    <t>Page 12 - Acct 3999 - Other Restricted Revenue from State Sources</t>
  </si>
  <si>
    <t>State Library Grant - $750</t>
  </si>
  <si>
    <t>Short-Term Long-Term Debt Tab</t>
  </si>
  <si>
    <t>Other Short-Term Debt Issued/Retired</t>
  </si>
  <si>
    <t>Short-Term loan retired was for copiers.</t>
  </si>
  <si>
    <t>Long-Term Debt Differences</t>
  </si>
  <si>
    <t>2009B Bonds were refunded - $635,000</t>
  </si>
  <si>
    <t>AUDITCHECK Tab - #15 Contracts Paid Error</t>
  </si>
  <si>
    <t>No applicable contracts paid in the current year.</t>
  </si>
  <si>
    <t xml:space="preserve">  Bement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</si>
</sst>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39074005026</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2107</v>
      </c>
      <c r="B17" s="2117"/>
      <c r="C17" s="2117"/>
      <c r="D17" s="2117"/>
      <c r="E17" s="2117"/>
      <c r="F17" s="2117"/>
      <c r="G17" s="2117"/>
      <c r="H17" s="2118"/>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2066</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61813</v>
      </c>
      <c r="B25" s="2084"/>
      <c r="C25" s="2084"/>
      <c r="D25" s="2084"/>
      <c r="E25" s="2084"/>
      <c r="F25" s="2084"/>
      <c r="G25" s="2084"/>
      <c r="H25" s="2085"/>
      <c r="I25" s="110"/>
      <c r="J25" s="2151"/>
      <c r="K25" s="2151"/>
      <c r="L25" s="2151"/>
      <c r="M25" s="2151"/>
      <c r="N25" s="2151"/>
      <c r="O25" s="2151"/>
      <c r="P25" s="2151"/>
      <c r="Q25" s="2151"/>
      <c r="R25" s="2151"/>
      <c r="S25" s="2152"/>
      <c r="T25" s="2043" t="s">
        <v>2067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2012672</v>
      </c>
      <c r="C4" s="1722">
        <v>13319</v>
      </c>
      <c r="D4" s="1723">
        <f>B4-C4</f>
        <v>1999353</v>
      </c>
      <c r="E4" s="1722">
        <v>2114501</v>
      </c>
      <c r="F4" s="1723">
        <f>E4-C4</f>
        <v>2101182</v>
      </c>
    </row>
    <row r="5" spans="1:8" ht="13.7" customHeight="1" x14ac:dyDescent="0.2">
      <c r="A5" s="579" t="s">
        <v>865</v>
      </c>
      <c r="B5" s="1724">
        <f>'Revenues 9-14'!D5</f>
        <v>343067</v>
      </c>
      <c r="C5" s="1664">
        <v>2270</v>
      </c>
      <c r="D5" s="1725">
        <f t="shared" ref="D5:D18" si="0">B5-C5</f>
        <v>340797</v>
      </c>
      <c r="E5" s="1664">
        <v>360426</v>
      </c>
      <c r="F5" s="1725">
        <f>E5-C5</f>
        <v>358156</v>
      </c>
    </row>
    <row r="6" spans="1:8" ht="13.7" customHeight="1" x14ac:dyDescent="0.2">
      <c r="A6" s="579" t="s">
        <v>408</v>
      </c>
      <c r="B6" s="1724">
        <f>'Revenues 9-14'!E5</f>
        <v>377331</v>
      </c>
      <c r="C6" s="1664">
        <v>2520</v>
      </c>
      <c r="D6" s="1725">
        <f t="shared" si="0"/>
        <v>374811</v>
      </c>
      <c r="E6" s="1664">
        <v>386734</v>
      </c>
      <c r="F6" s="1725">
        <f t="shared" ref="F6:F18" si="1">E6-C6</f>
        <v>384214</v>
      </c>
    </row>
    <row r="7" spans="1:8" ht="13.7" customHeight="1" x14ac:dyDescent="0.2">
      <c r="A7" s="579" t="s">
        <v>154</v>
      </c>
      <c r="B7" s="1724">
        <f>'Revenues 9-14'!F5</f>
        <v>130693</v>
      </c>
      <c r="C7" s="1664">
        <v>865</v>
      </c>
      <c r="D7" s="1725">
        <f t="shared" si="0"/>
        <v>129828</v>
      </c>
      <c r="E7" s="1664">
        <v>137305</v>
      </c>
      <c r="F7" s="1725">
        <f t="shared" si="1"/>
        <v>136440</v>
      </c>
    </row>
    <row r="8" spans="1:8" ht="13.7" customHeight="1" x14ac:dyDescent="0.2">
      <c r="A8" s="579" t="s">
        <v>1169</v>
      </c>
      <c r="B8" s="1724">
        <f>'Revenues 9-14'!G5</f>
        <v>19552</v>
      </c>
      <c r="C8" s="1664">
        <v>131</v>
      </c>
      <c r="D8" s="1725">
        <f t="shared" si="0"/>
        <v>19421</v>
      </c>
      <c r="E8" s="1664">
        <v>10003</v>
      </c>
      <c r="F8" s="1725">
        <f t="shared" si="1"/>
        <v>9872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32674</v>
      </c>
      <c r="C10" s="1664">
        <v>216</v>
      </c>
      <c r="D10" s="1725">
        <f t="shared" si="0"/>
        <v>32458</v>
      </c>
      <c r="E10" s="1664">
        <v>34326</v>
      </c>
      <c r="F10" s="1725">
        <f t="shared" si="1"/>
        <v>34110</v>
      </c>
    </row>
    <row r="11" spans="1:8" x14ac:dyDescent="0.2">
      <c r="A11" s="579" t="s">
        <v>406</v>
      </c>
      <c r="B11" s="1724">
        <f>'Revenues 9-14'!J5</f>
        <v>246141</v>
      </c>
      <c r="C11" s="1664">
        <v>1629</v>
      </c>
      <c r="D11" s="1725">
        <f t="shared" si="0"/>
        <v>244512</v>
      </c>
      <c r="E11" s="1664">
        <v>250005</v>
      </c>
      <c r="F11" s="1725">
        <f t="shared" si="1"/>
        <v>248376</v>
      </c>
    </row>
    <row r="12" spans="1:8" ht="13.7" customHeight="1" x14ac:dyDescent="0.2">
      <c r="A12" s="579" t="s">
        <v>156</v>
      </c>
      <c r="B12" s="1724">
        <f>'Revenues 9-14'!K5</f>
        <v>32674</v>
      </c>
      <c r="C12" s="1664">
        <v>216</v>
      </c>
      <c r="D12" s="1725">
        <f t="shared" si="0"/>
        <v>32458</v>
      </c>
      <c r="E12" s="1664">
        <v>34326</v>
      </c>
      <c r="F12" s="1725">
        <f t="shared" si="1"/>
        <v>34110</v>
      </c>
    </row>
    <row r="13" spans="1:8" ht="13.7" customHeight="1" x14ac:dyDescent="0.2">
      <c r="A13" s="579" t="s">
        <v>930</v>
      </c>
      <c r="B13" s="1724">
        <f>SUM('Revenues 9-14'!C6:D6)</f>
        <v>32674</v>
      </c>
      <c r="C13" s="1664">
        <v>216</v>
      </c>
      <c r="D13" s="1725">
        <f t="shared" si="0"/>
        <v>32458</v>
      </c>
      <c r="E13" s="1664">
        <v>34326</v>
      </c>
      <c r="F13" s="1725">
        <f t="shared" si="1"/>
        <v>34110</v>
      </c>
    </row>
    <row r="14" spans="1:8" ht="13.7" customHeight="1" x14ac:dyDescent="0.2">
      <c r="A14" s="579" t="s">
        <v>407</v>
      </c>
      <c r="B14" s="1724">
        <f>SUM('Revenues 9-14'!C7:D7,'Revenues 9-14'!F7:H7)</f>
        <v>26138</v>
      </c>
      <c r="C14" s="1664">
        <v>173</v>
      </c>
      <c r="D14" s="1725">
        <f t="shared" si="0"/>
        <v>25965</v>
      </c>
      <c r="E14" s="1664">
        <v>27461</v>
      </c>
      <c r="F14" s="1725">
        <f t="shared" si="1"/>
        <v>27288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19552</v>
      </c>
      <c r="C16" s="1664">
        <v>131</v>
      </c>
      <c r="D16" s="1725">
        <f t="shared" si="0"/>
        <v>19421</v>
      </c>
      <c r="E16" s="1664">
        <v>10003</v>
      </c>
      <c r="F16" s="1725">
        <f t="shared" si="1"/>
        <v>9872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3273168</v>
      </c>
      <c r="C19" s="1726">
        <f>SUM(C4:C18)</f>
        <v>21686</v>
      </c>
      <c r="D19" s="1726">
        <f>SUM(D4:D18)</f>
        <v>3251482</v>
      </c>
      <c r="E19" s="1726">
        <f>SUM(E4:E18)</f>
        <v>3399416</v>
      </c>
      <c r="F19" s="1726">
        <f>SUM(F4:F18)</f>
        <v>3377730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v>8138</v>
      </c>
      <c r="D27" s="1664"/>
      <c r="E27" s="1664">
        <v>8138</v>
      </c>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40148</v>
      </c>
      <c r="C31" s="1734">
        <v>950000</v>
      </c>
      <c r="D31" s="1735">
        <v>3</v>
      </c>
      <c r="E31" s="1734">
        <v>695000</v>
      </c>
      <c r="F31" s="1734"/>
      <c r="G31" s="1734">
        <v>-635000</v>
      </c>
      <c r="H31" s="1734">
        <v>60000</v>
      </c>
      <c r="I31" s="1736">
        <f>((E31+F31)-H31)+G31</f>
        <v>0</v>
      </c>
      <c r="J31" s="1734"/>
      <c r="K31" s="596"/>
    </row>
    <row r="32" spans="1:11" ht="12" customHeight="1" x14ac:dyDescent="0.2">
      <c r="A32" s="594" t="s">
        <v>2070</v>
      </c>
      <c r="B32" s="595">
        <v>42401</v>
      </c>
      <c r="C32" s="1734">
        <v>480000</v>
      </c>
      <c r="D32" s="1735">
        <v>1</v>
      </c>
      <c r="E32" s="1734">
        <v>375000</v>
      </c>
      <c r="F32" s="1734"/>
      <c r="G32" s="1734"/>
      <c r="H32" s="1734">
        <v>140000</v>
      </c>
      <c r="I32" s="1736">
        <f>((E32+F32)-H32)+G32</f>
        <v>235000</v>
      </c>
      <c r="J32" s="1734">
        <v>220004</v>
      </c>
      <c r="K32" s="596"/>
    </row>
    <row r="33" spans="1:11" ht="12" customHeight="1" x14ac:dyDescent="0.2">
      <c r="A33" s="594" t="s">
        <v>2071</v>
      </c>
      <c r="B33" s="595">
        <v>42943</v>
      </c>
      <c r="C33" s="1734">
        <v>1427734</v>
      </c>
      <c r="D33" s="1735">
        <v>3</v>
      </c>
      <c r="E33" s="1734">
        <v>1377734</v>
      </c>
      <c r="F33" s="1734"/>
      <c r="G33" s="1734"/>
      <c r="H33" s="1734">
        <v>50000</v>
      </c>
      <c r="I33" s="1736">
        <f t="shared" ref="I33:I48" si="1">((E33+F33)-H33)+G33</f>
        <v>1327734</v>
      </c>
      <c r="J33" s="1734">
        <v>1327734</v>
      </c>
      <c r="K33" s="596"/>
    </row>
    <row r="34" spans="1:11" ht="12" customHeight="1" x14ac:dyDescent="0.2">
      <c r="A34" s="594" t="s">
        <v>2072</v>
      </c>
      <c r="B34" s="595">
        <v>42943</v>
      </c>
      <c r="C34" s="1734">
        <v>1825000</v>
      </c>
      <c r="D34" s="1735" t="s">
        <v>2073</v>
      </c>
      <c r="E34" s="1734">
        <v>1825000</v>
      </c>
      <c r="F34" s="1734"/>
      <c r="G34" s="1734"/>
      <c r="H34" s="1734"/>
      <c r="I34" s="1736">
        <f t="shared" si="1"/>
        <v>1825000</v>
      </c>
      <c r="J34" s="1734">
        <v>1825000</v>
      </c>
      <c r="K34" s="597"/>
    </row>
    <row r="35" spans="1:11" ht="12" customHeight="1" x14ac:dyDescent="0.2">
      <c r="A35" s="594" t="s">
        <v>2074</v>
      </c>
      <c r="B35" s="595">
        <v>43711</v>
      </c>
      <c r="C35" s="1737">
        <v>650000</v>
      </c>
      <c r="D35" s="1735">
        <v>3</v>
      </c>
      <c r="E35" s="1737"/>
      <c r="F35" s="1737">
        <v>650000</v>
      </c>
      <c r="G35" s="1737"/>
      <c r="H35" s="1737"/>
      <c r="I35" s="1736">
        <f t="shared" si="1"/>
        <v>650000</v>
      </c>
      <c r="J35" s="1737">
        <v>650000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5332734</v>
      </c>
      <c r="D49" s="1742"/>
      <c r="E49" s="1736">
        <f t="shared" ref="E49:J49" si="2">SUM(E31:E48)</f>
        <v>4272734</v>
      </c>
      <c r="F49" s="1736">
        <f t="shared" si="2"/>
        <v>650000</v>
      </c>
      <c r="G49" s="1736">
        <f t="shared" si="2"/>
        <v>-635000</v>
      </c>
      <c r="H49" s="1736">
        <f t="shared" si="2"/>
        <v>250000</v>
      </c>
      <c r="I49" s="1736">
        <f t="shared" si="2"/>
        <v>4037734</v>
      </c>
      <c r="J49" s="1736">
        <f t="shared" si="2"/>
        <v>4022738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v>36873</v>
      </c>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26138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4090</v>
      </c>
    </row>
    <row r="8" spans="1:11" x14ac:dyDescent="0.2">
      <c r="A8" s="629" t="s">
        <v>342</v>
      </c>
      <c r="B8" s="630"/>
      <c r="C8" s="630"/>
      <c r="D8" s="630"/>
      <c r="E8" s="631"/>
      <c r="F8" s="622" t="s">
        <v>846</v>
      </c>
      <c r="G8" s="1753"/>
      <c r="H8" s="1753"/>
      <c r="I8" s="1753"/>
      <c r="J8" s="1745">
        <v>90960</v>
      </c>
      <c r="K8" s="1748"/>
    </row>
    <row r="9" spans="1:11" x14ac:dyDescent="0.2">
      <c r="A9" s="629" t="s">
        <v>137</v>
      </c>
      <c r="B9" s="630"/>
      <c r="C9" s="630"/>
      <c r="D9" s="630"/>
      <c r="E9" s="631"/>
      <c r="F9" s="628" t="s">
        <v>848</v>
      </c>
      <c r="G9" s="1753"/>
      <c r="H9" s="1749"/>
      <c r="I9" s="1749"/>
      <c r="J9" s="1752"/>
      <c r="K9" s="1745">
        <v>3161</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26138</v>
      </c>
      <c r="I12" s="1755">
        <f>SUM(I5:I11)</f>
        <v>0</v>
      </c>
      <c r="J12" s="1755">
        <f>SUM(J5:J11)</f>
        <v>90960</v>
      </c>
      <c r="K12" s="1755">
        <f>SUM(K5:K11)</f>
        <v>7251</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26138</v>
      </c>
      <c r="I14" s="1749"/>
      <c r="J14" s="1751"/>
      <c r="K14" s="1745">
        <v>7251</v>
      </c>
    </row>
    <row r="15" spans="1:11" x14ac:dyDescent="0.2">
      <c r="A15" s="2322" t="s">
        <v>4</v>
      </c>
      <c r="B15" s="2322"/>
      <c r="C15" s="2322"/>
      <c r="D15" s="2322"/>
      <c r="E15" s="2352"/>
      <c r="F15" s="635" t="s">
        <v>850</v>
      </c>
      <c r="G15" s="1749"/>
      <c r="H15" s="1744"/>
      <c r="I15" s="1744"/>
      <c r="J15" s="1745">
        <v>72199</v>
      </c>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26138</v>
      </c>
      <c r="I23" s="1755">
        <f>SUM(I14:I16,I21,I22)</f>
        <v>0</v>
      </c>
      <c r="J23" s="1755">
        <f>SUM(J14:J16,J21,J22)</f>
        <v>72199</v>
      </c>
      <c r="K23" s="1755">
        <f>SUM(K14:K16,K21,K22)</f>
        <v>7251</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55634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55634</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17419</v>
      </c>
      <c r="D5" s="1770"/>
      <c r="E5" s="1770"/>
      <c r="F5" s="1765">
        <f>(C5+D5)-E5</f>
        <v>17419</v>
      </c>
      <c r="G5" s="676"/>
      <c r="H5" s="680"/>
      <c r="I5" s="680"/>
      <c r="J5" s="680"/>
      <c r="K5" s="637"/>
      <c r="L5" s="1442">
        <f>F5-K5</f>
        <v>17419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3915790</v>
      </c>
      <c r="D8" s="1771"/>
      <c r="E8" s="1771"/>
      <c r="F8" s="1765">
        <f>(C8+D8)-E8</f>
        <v>3915790</v>
      </c>
      <c r="G8" s="681">
        <v>50</v>
      </c>
      <c r="H8" s="619">
        <v>2870223</v>
      </c>
      <c r="I8" s="619">
        <v>78025</v>
      </c>
      <c r="J8" s="619"/>
      <c r="K8" s="1442">
        <f>(H8+I8)-J8</f>
        <v>2948248</v>
      </c>
      <c r="L8" s="1442">
        <f>F8-K8</f>
        <v>967542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1630837</v>
      </c>
      <c r="D10" s="1772">
        <v>73524</v>
      </c>
      <c r="E10" s="1772"/>
      <c r="F10" s="1773">
        <f>(C10+D10)-E10</f>
        <v>1704361</v>
      </c>
      <c r="G10" s="681">
        <v>20</v>
      </c>
      <c r="H10" s="683">
        <v>137180</v>
      </c>
      <c r="I10" s="683">
        <v>85218</v>
      </c>
      <c r="J10" s="683"/>
      <c r="K10" s="1442">
        <f>(H10+I10)-J10</f>
        <v>222398</v>
      </c>
      <c r="L10" s="1442">
        <f>F10-K10</f>
        <v>1481963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1405672</v>
      </c>
      <c r="D12" s="1771">
        <v>21650</v>
      </c>
      <c r="E12" s="1771"/>
      <c r="F12" s="1765">
        <f>(C12+D12)-E12</f>
        <v>1427322</v>
      </c>
      <c r="G12" s="681">
        <v>10</v>
      </c>
      <c r="H12" s="619">
        <v>1397556</v>
      </c>
      <c r="I12" s="619">
        <v>3136</v>
      </c>
      <c r="J12" s="619"/>
      <c r="K12" s="1442">
        <f>(H12+I12)-J12</f>
        <v>1400692</v>
      </c>
      <c r="L12" s="1442">
        <f>F12-K12</f>
        <v>26630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6969718</v>
      </c>
      <c r="D16" s="1765">
        <f>SUM(D3,D5:D6,D8:D10,D12:D15)</f>
        <v>95174</v>
      </c>
      <c r="E16" s="1765">
        <f>SUM(E3,E5:E6,E8:E10,E12:E15)</f>
        <v>0</v>
      </c>
      <c r="F16" s="1765">
        <f>SUM(F3,F5:F6,F8:F10,F12:F15)</f>
        <v>7064892</v>
      </c>
      <c r="G16" s="681"/>
      <c r="H16" s="1435">
        <f>SUM(H3,H6,H8:H10,H12:H14,)</f>
        <v>4404959</v>
      </c>
      <c r="I16" s="1435">
        <f>SUM(I3,I6,I8:I10,I12:I14,)</f>
        <v>166379</v>
      </c>
      <c r="J16" s="1435">
        <f>SUM(J3,J6,J8:J10,J12:J14,)</f>
        <v>0</v>
      </c>
      <c r="K16" s="1435">
        <f>(H16+I16)-J16</f>
        <v>4571338</v>
      </c>
      <c r="L16" s="1435">
        <f>F16-K16</f>
        <v>2493554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166379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2685064</v>
      </c>
      <c r="G8" s="701"/>
    </row>
    <row r="9" spans="1:9" x14ac:dyDescent="0.2">
      <c r="A9" s="705" t="s">
        <v>457</v>
      </c>
      <c r="B9" s="706" t="s">
        <v>1848</v>
      </c>
      <c r="C9" s="707"/>
      <c r="D9" s="705" t="s">
        <v>498</v>
      </c>
      <c r="E9" s="704"/>
      <c r="F9" s="1775">
        <f>'Expenditures 15-22'!K151</f>
        <v>310233</v>
      </c>
      <c r="G9" s="708"/>
    </row>
    <row r="10" spans="1:9" x14ac:dyDescent="0.2">
      <c r="A10" s="705" t="s">
        <v>496</v>
      </c>
      <c r="B10" s="706" t="s">
        <v>1849</v>
      </c>
      <c r="C10" s="707"/>
      <c r="D10" s="705" t="s">
        <v>498</v>
      </c>
      <c r="E10" s="704"/>
      <c r="F10" s="1775">
        <f>'Expenditures 15-22'!K174</f>
        <v>369236</v>
      </c>
      <c r="G10" s="708"/>
    </row>
    <row r="11" spans="1:9" x14ac:dyDescent="0.2">
      <c r="A11" s="705" t="s">
        <v>458</v>
      </c>
      <c r="B11" s="706" t="s">
        <v>1850</v>
      </c>
      <c r="C11" s="707"/>
      <c r="D11" s="705" t="s">
        <v>498</v>
      </c>
      <c r="E11" s="704"/>
      <c r="F11" s="1775">
        <f>'Expenditures 15-22'!K210</f>
        <v>280305</v>
      </c>
      <c r="G11" s="708"/>
    </row>
    <row r="12" spans="1:9" x14ac:dyDescent="0.2">
      <c r="A12" s="705" t="s">
        <v>459</v>
      </c>
      <c r="B12" s="706" t="s">
        <v>1851</v>
      </c>
      <c r="C12" s="707"/>
      <c r="D12" s="705" t="s">
        <v>498</v>
      </c>
      <c r="E12" s="704"/>
      <c r="F12" s="1775">
        <f>'Expenditures 15-22'!K295</f>
        <v>73187</v>
      </c>
      <c r="G12" s="708"/>
    </row>
    <row r="13" spans="1:9" x14ac:dyDescent="0.2">
      <c r="A13" s="705" t="s">
        <v>106</v>
      </c>
      <c r="B13" s="706" t="s">
        <v>1852</v>
      </c>
      <c r="C13" s="707"/>
      <c r="D13" s="705" t="s">
        <v>498</v>
      </c>
      <c r="E13" s="704"/>
      <c r="F13" s="1775">
        <f>'Expenditures 15-22'!K342</f>
        <v>249396</v>
      </c>
      <c r="G13" s="709"/>
    </row>
    <row r="14" spans="1:9" ht="12" customHeight="1" thickBot="1" x14ac:dyDescent="0.25">
      <c r="A14" s="1443"/>
      <c r="B14" s="1444"/>
      <c r="C14" s="1445"/>
      <c r="D14" s="1446" t="s">
        <v>498</v>
      </c>
      <c r="E14" s="1447" t="s">
        <v>952</v>
      </c>
      <c r="F14" s="1776">
        <f>SUM(F8:F13)</f>
        <v>3967421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76795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78777</v>
      </c>
      <c r="G53" s="701"/>
    </row>
    <row r="54" spans="1:7" x14ac:dyDescent="0.2">
      <c r="A54" s="705" t="s">
        <v>456</v>
      </c>
      <c r="B54" s="705" t="s">
        <v>1459</v>
      </c>
      <c r="C54" s="724" t="s">
        <v>975</v>
      </c>
      <c r="D54" s="720" t="s">
        <v>1086</v>
      </c>
      <c r="E54" s="704"/>
      <c r="F54" s="1782">
        <f>'Expenditures 15-22'!G114</f>
        <v>21650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2914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430136</v>
      </c>
      <c r="G77" s="701"/>
    </row>
    <row r="78" spans="1:9" s="728" customFormat="1" ht="12" customHeight="1" thickTop="1" thickBot="1" x14ac:dyDescent="0.25">
      <c r="A78" s="1450"/>
      <c r="B78" s="1448"/>
      <c r="C78" s="1445"/>
      <c r="D78" s="1449" t="s">
        <v>2012</v>
      </c>
      <c r="E78" s="1447"/>
      <c r="F78" s="1788">
        <f>(F14-F77)</f>
        <v>3537285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274.3</v>
      </c>
      <c r="G79" s="733"/>
      <c r="H79" s="705"/>
      <c r="I79" s="705"/>
    </row>
    <row r="80" spans="1:9" s="728" customFormat="1" ht="12" customHeight="1" thickBot="1" x14ac:dyDescent="0.25">
      <c r="A80" s="1452"/>
      <c r="B80" s="1448"/>
      <c r="C80" s="1445"/>
      <c r="D80" s="1449" t="s">
        <v>2013</v>
      </c>
      <c r="E80" s="1447" t="s">
        <v>952</v>
      </c>
      <c r="F80" s="1790">
        <f>IF(F79&gt;0,F78/F79," Complete Line 79")</f>
        <v>12895.679912504556</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20371</v>
      </c>
      <c r="G95" s="745"/>
    </row>
    <row r="96" spans="1:7" x14ac:dyDescent="0.2">
      <c r="A96" s="741" t="s">
        <v>139</v>
      </c>
      <c r="B96" s="741" t="s">
        <v>174</v>
      </c>
      <c r="C96" s="743">
        <v>1700</v>
      </c>
      <c r="D96" s="751" t="str">
        <f>'Revenues 9-14'!A82</f>
        <v>Total District/School Activity Income</v>
      </c>
      <c r="E96" s="739"/>
      <c r="F96" s="1793">
        <f>SUM('Revenues 9-14'!C82,'Revenues 9-14'!D82)</f>
        <v>30226</v>
      </c>
      <c r="G96" s="745"/>
    </row>
    <row r="97" spans="1:7" x14ac:dyDescent="0.2">
      <c r="A97" s="741" t="s">
        <v>456</v>
      </c>
      <c r="B97" s="741" t="s">
        <v>175</v>
      </c>
      <c r="C97" s="743">
        <f>'Revenues 9-14'!B84</f>
        <v>1811</v>
      </c>
      <c r="D97" s="744" t="str">
        <f>'Revenues 9-14'!A84</f>
        <v>Rentals - Regular Textbooks</v>
      </c>
      <c r="E97" s="739"/>
      <c r="F97" s="1793">
        <f>'Revenues 9-14'!C84</f>
        <v>8500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21092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2144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5949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615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3161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122877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21504</v>
      </c>
      <c r="G125" s="763"/>
    </row>
    <row r="126" spans="1:7" x14ac:dyDescent="0.2">
      <c r="A126" s="760" t="s">
        <v>659</v>
      </c>
      <c r="B126" s="760" t="s">
        <v>1930</v>
      </c>
      <c r="C126" s="765">
        <v>4200</v>
      </c>
      <c r="D126" s="762" t="str">
        <f>'Revenues 9-14'!A198</f>
        <v>Total Food Service</v>
      </c>
      <c r="E126" s="739"/>
      <c r="F126" s="1793">
        <f>SUM('Revenues 9-14'!C198,'Revenues 9-14'!G198)</f>
        <v>66363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45141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8576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76512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6698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2811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79063</v>
      </c>
      <c r="G172" s="760"/>
    </row>
    <row r="173" spans="1:7" x14ac:dyDescent="0.2">
      <c r="A173" s="1529" t="s">
        <v>659</v>
      </c>
      <c r="B173" s="1530" t="s">
        <v>1885</v>
      </c>
      <c r="C173" s="1531">
        <v>3300</v>
      </c>
      <c r="D173" s="1532" t="s">
        <v>1888</v>
      </c>
      <c r="E173" s="739"/>
      <c r="F173" s="1794">
        <v>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522475</v>
      </c>
    </row>
    <row r="176" spans="1:7" ht="12" customHeight="1" x14ac:dyDescent="0.2">
      <c r="A176" s="1443"/>
      <c r="B176" s="1453"/>
      <c r="C176" s="1454"/>
      <c r="D176" s="1455" t="s">
        <v>2014</v>
      </c>
      <c r="E176" s="1456"/>
      <c r="F176" s="1793">
        <f>'PCTC-OEPP 27-28'!F78-F175</f>
        <v>3014810</v>
      </c>
    </row>
    <row r="177" spans="1:9" ht="12" customHeight="1" x14ac:dyDescent="0.2">
      <c r="A177" s="1443"/>
      <c r="B177" s="1453"/>
      <c r="C177" s="1454"/>
      <c r="D177" s="1455" t="s">
        <v>1794</v>
      </c>
      <c r="E177" s="1456"/>
      <c r="F177" s="1793">
        <f>'Cap Outlay Deprec 26'!I18</f>
        <v>166379</v>
      </c>
    </row>
    <row r="178" spans="1:9" ht="12" customHeight="1" x14ac:dyDescent="0.2">
      <c r="A178" s="1443"/>
      <c r="B178" s="1453"/>
      <c r="C178" s="1454"/>
      <c r="D178" s="1455" t="s">
        <v>2015</v>
      </c>
      <c r="E178" s="1456"/>
      <c r="F178" s="1793">
        <f>F176+F177</f>
        <v>3181189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274.3</v>
      </c>
      <c r="G179" s="763"/>
      <c r="I179" s="701"/>
    </row>
    <row r="180" spans="1:9" ht="12" customHeight="1" thickBot="1" x14ac:dyDescent="0.25">
      <c r="A180" s="1443"/>
      <c r="B180" s="1457"/>
      <c r="C180" s="1454"/>
      <c r="D180" s="1455" t="s">
        <v>2017</v>
      </c>
      <c r="E180" s="1456" t="s">
        <v>1528</v>
      </c>
      <c r="F180" s="1798">
        <f>F178/F179</f>
        <v>11597.480860371856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83212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1808939</v>
      </c>
      <c r="F19" s="1802"/>
      <c r="G19" s="1804">
        <f>'Expenditures 15-22'!K33-SUM('Expenditures 15-22'!G33,'Expenditures 15-22'!I33)+'Expenditures 15-22'!D229</f>
        <v>1808939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134287</v>
      </c>
      <c r="F21" s="1805"/>
      <c r="G21" s="1808">
        <f>'Expenditures 15-22'!K42-SUM('Expenditures 15-22'!G42,'Expenditures 15-22'!I42)+'Expenditures 15-22'!K120-SUM('Expenditures 15-22'!G120,'Expenditures 15-22'!I120)+'Expenditures 15-22'!K180-SUM('Expenditures 15-22'!G180,'Expenditures 15-22'!I180)+'Expenditures 15-22'!D238</f>
        <v>134287</v>
      </c>
      <c r="H21" s="817"/>
      <c r="I21" s="157"/>
    </row>
    <row r="22" spans="1:9" s="542" customFormat="1" ht="12" customHeight="1" x14ac:dyDescent="0.2">
      <c r="A22" s="824" t="s">
        <v>560</v>
      </c>
      <c r="B22" s="825"/>
      <c r="C22" s="823">
        <v>2200</v>
      </c>
      <c r="D22" s="1805"/>
      <c r="E22" s="1807">
        <f>'Expenditures 15-22'!K47-SUM('Expenditures 15-22'!G47,'Expenditures 15-22'!I47)+'Expenditures 15-22'!D243</f>
        <v>18935</v>
      </c>
      <c r="F22" s="1805"/>
      <c r="G22" s="1808">
        <f>'Expenditures 15-22'!K47-SUM('Expenditures 15-22'!G47,'Expenditures 15-22'!I47)+'Expenditures 15-22'!D243</f>
        <v>18935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458011</v>
      </c>
      <c r="F23" s="1805"/>
      <c r="G23" s="1807">
        <f>'Expenditures 15-22'!K53-SUM('Expenditures 15-22'!G53,'Expenditures 15-22'!I53)+'Expenditures 15-22'!D257+'Expenditures 15-22'!K330-SUM('Expenditures 15-22'!G330,'Expenditures 15-22'!I330)</f>
        <v>458011</v>
      </c>
      <c r="H23" s="817"/>
      <c r="I23" s="157"/>
    </row>
    <row r="24" spans="1:9" s="542" customFormat="1" ht="12" customHeight="1" x14ac:dyDescent="0.2">
      <c r="A24" s="824" t="s">
        <v>562</v>
      </c>
      <c r="B24" s="825"/>
      <c r="C24" s="823">
        <v>2400</v>
      </c>
      <c r="D24" s="1805"/>
      <c r="E24" s="1807">
        <f>'Expenditures 15-22'!K57-SUM('Expenditures 15-22'!G57,'Expenditures 15-22'!I57)+'Expenditures 15-22'!D261</f>
        <v>297457</v>
      </c>
      <c r="F24" s="1805"/>
      <c r="G24" s="1808">
        <f>'Expenditures 15-22'!K57-SUM('Expenditures 15-22'!G57,'Expenditures 15-22'!I57)+'Expenditures 15-22'!D261</f>
        <v>297457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88196</v>
      </c>
      <c r="E27" s="1807">
        <f>E8</f>
        <v>0</v>
      </c>
      <c r="F27" s="1807">
        <f>'Expenditures 15-22'!K60-SUM('Expenditures 15-22'!G60,'Expenditures 15-22'!I60)+'Expenditures 15-22'!D264-E8</f>
        <v>88196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328416</v>
      </c>
      <c r="F28" s="1809">
        <f>'Expenditures 15-22'!K61-SUM('Expenditures 15-22'!G61,'Expenditures 15-22'!I61)+'Expenditures 15-22'!K124-SUM('Expenditures 15-22'!G124,'Expenditures 15-22'!I124)+'Expenditures 15-22'!D266-E9</f>
        <v>328416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280305</v>
      </c>
      <c r="F29" s="1805"/>
      <c r="G29" s="1808">
        <f>'Expenditures 15-22'!K62-SUM('Expenditures 15-22'!G62,'Expenditures 15-22'!I62)+'Expenditures 15-22'!K125-SUM('Expenditures 15-22'!G125,'Expenditures 15-22'!I125)+'Expenditures 15-22'!K182-SUM('Expenditures 15-22'!G182,'Expenditures 15-22'!I182)+'Expenditures 15-22'!D267</f>
        <v>280305</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88196</v>
      </c>
      <c r="E41" s="1809">
        <f>SUM(E19:E40)</f>
        <v>3326350</v>
      </c>
      <c r="F41" s="1809">
        <f>SUM(F19:F39)</f>
        <v>416612</v>
      </c>
      <c r="G41" s="1809">
        <f>SUM(G19:G40)</f>
        <v>2997934</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88196</v>
      </c>
      <c r="F43" s="1458" t="s">
        <v>470</v>
      </c>
      <c r="G43" s="1810">
        <f>F41</f>
        <v>416612</v>
      </c>
    </row>
    <row r="44" spans="1:7" ht="12" customHeight="1" x14ac:dyDescent="0.2">
      <c r="A44" s="817"/>
      <c r="B44" s="157"/>
      <c r="C44" s="831"/>
      <c r="D44" s="1458" t="s">
        <v>471</v>
      </c>
      <c r="E44" s="1810">
        <f>E41</f>
        <v>3326350</v>
      </c>
      <c r="F44" s="1458" t="s">
        <v>471</v>
      </c>
      <c r="G44" s="1810">
        <f>G41</f>
        <v>2997934</v>
      </c>
    </row>
    <row r="45" spans="1:7" ht="12" customHeight="1" x14ac:dyDescent="0.2">
      <c r="A45" s="817"/>
      <c r="B45" s="157"/>
      <c r="C45" s="157"/>
      <c r="D45" s="1459" t="s">
        <v>999</v>
      </c>
      <c r="E45" s="1811">
        <f>(E43/E44)</f>
        <v>2.6514347558134293E-2</v>
      </c>
      <c r="F45" s="1459" t="s">
        <v>999</v>
      </c>
      <c r="G45" s="1811">
        <f>(G43/G44)</f>
        <v>0.13896636817221461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Bement CUSD 5</v>
      </c>
      <c r="D6" s="2407"/>
      <c r="E6" s="2407"/>
      <c r="F6" s="1482"/>
      <c r="G6" s="1507"/>
      <c r="L6" s="1507"/>
      <c r="M6" s="1855"/>
      <c r="N6" s="1855"/>
      <c r="O6" s="1855"/>
    </row>
    <row r="7" spans="1:15" ht="11.25" customHeight="1" thickBot="1" x14ac:dyDescent="0.3">
      <c r="A7" s="1480"/>
      <c r="B7" s="1481"/>
      <c r="C7" s="2408">
        <f>COVER!A13</f>
        <v>39074005026</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t="s">
        <v>2051</v>
      </c>
      <c r="F13" s="1497" t="s">
        <v>2077</v>
      </c>
      <c r="G13" s="1507"/>
      <c r="H13" s="1507">
        <f t="shared" si="0"/>
        <v>5</v>
      </c>
      <c r="I13" s="1507">
        <f t="shared" si="1"/>
        <v>5</v>
      </c>
      <c r="J13" s="1507">
        <f t="shared" si="2"/>
        <v>5</v>
      </c>
      <c r="L13" s="1507"/>
      <c r="M13" s="1855"/>
      <c r="N13" s="1855"/>
      <c r="O13" s="1855"/>
    </row>
    <row r="14" spans="1:15" ht="12" customHeight="1" x14ac:dyDescent="0.2">
      <c r="A14" s="1493" t="s">
        <v>1370</v>
      </c>
      <c r="B14" s="1494"/>
      <c r="C14" s="1495" t="s">
        <v>2051</v>
      </c>
      <c r="D14" s="1495" t="s">
        <v>2051</v>
      </c>
      <c r="E14" s="1498" t="s">
        <v>2051</v>
      </c>
      <c r="F14" s="1497" t="s">
        <v>2077</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t="s">
        <v>2051</v>
      </c>
      <c r="F16" s="1497" t="s">
        <v>2076</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t="s">
        <v>2051</v>
      </c>
      <c r="F25" s="1497" t="s">
        <v>2078</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2079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2078</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2080</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35</v>
      </c>
      <c r="K34" s="1507">
        <f>SUM(H34:J34)</f>
        <v>105</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Bement CUSD 5</v>
      </c>
      <c r="K6" s="2423"/>
      <c r="L6" s="2424"/>
      <c r="M6" s="838"/>
      <c r="N6" s="1999"/>
    </row>
    <row r="7" spans="1:14" x14ac:dyDescent="0.2">
      <c r="A7" s="2425" t="s">
        <v>864</v>
      </c>
      <c r="B7" s="2426"/>
      <c r="C7" s="2426"/>
      <c r="D7" s="2426"/>
      <c r="E7" s="2427"/>
      <c r="F7" s="839"/>
      <c r="G7" s="838"/>
      <c r="H7" s="838"/>
      <c r="I7" s="1925" t="s">
        <v>369</v>
      </c>
      <c r="J7" s="2428">
        <f>COVER!A13</f>
        <v>39074005026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186112</v>
      </c>
      <c r="F12" s="1943"/>
      <c r="G12" s="1969">
        <f>G68</f>
        <v>15073</v>
      </c>
      <c r="H12" s="1945">
        <f t="shared" ref="H12:H18" si="0">SUM(E12:G12)</f>
        <v>201185</v>
      </c>
      <c r="I12" s="1944">
        <v>153000</v>
      </c>
      <c r="J12" s="1943"/>
      <c r="K12" s="1944"/>
      <c r="L12" s="1945">
        <f t="shared" ref="L12:L18" si="1">SUM(I12:K12)</f>
        <v>153000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186112</v>
      </c>
      <c r="F19" s="1951">
        <f t="shared" si="2"/>
        <v>0</v>
      </c>
      <c r="G19" s="1951">
        <f t="shared" ref="G19" si="3">SUM(G12:G17)-G18</f>
        <v>15073</v>
      </c>
      <c r="H19" s="1951">
        <f t="shared" si="2"/>
        <v>201185</v>
      </c>
      <c r="I19" s="1951">
        <f t="shared" si="2"/>
        <v>153000</v>
      </c>
      <c r="J19" s="1951">
        <f t="shared" si="2"/>
        <v>0</v>
      </c>
      <c r="K19" s="1951">
        <f t="shared" si="2"/>
        <v>0</v>
      </c>
      <c r="L19" s="1951">
        <f t="shared" si="2"/>
        <v>153000</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-0.23950592738027188</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Bement CUSD 5</v>
      </c>
      <c r="M52" s="2423"/>
      <c r="N52" s="2453"/>
    </row>
    <row r="53" spans="1:14" x14ac:dyDescent="0.2">
      <c r="A53" s="1983"/>
      <c r="B53" s="1984"/>
      <c r="C53" s="1984"/>
      <c r="D53" s="1984"/>
      <c r="E53" s="1984"/>
      <c r="F53" s="1984"/>
      <c r="G53" s="1984"/>
      <c r="H53" s="1984"/>
      <c r="I53" s="1984"/>
      <c r="J53" s="1984"/>
      <c r="K53" s="1925" t="s">
        <v>369</v>
      </c>
      <c r="L53" s="2428">
        <f>J7</f>
        <v>39074005026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15196</v>
      </c>
      <c r="F58" s="1973"/>
      <c r="G58" s="2032"/>
      <c r="H58" s="2033"/>
      <c r="I58" s="2033"/>
      <c r="J58" s="2033"/>
      <c r="K58" s="2033"/>
      <c r="L58" s="2033"/>
      <c r="M58" s="2033">
        <v>15196</v>
      </c>
      <c r="N58" s="1976">
        <f>IF((SUM(G58:M58))=E58,SUM(G58:M58),"Column N does not agree with Column E")</f>
        <v>15196</v>
      </c>
    </row>
    <row r="59" spans="1:14" ht="24.75" customHeight="1" x14ac:dyDescent="0.2">
      <c r="A59" s="2464" t="s">
        <v>297</v>
      </c>
      <c r="B59" s="2465"/>
      <c r="C59" s="2465"/>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4" t="s">
        <v>236</v>
      </c>
      <c r="B60" s="2465"/>
      <c r="C60" s="2465"/>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4" t="s">
        <v>697</v>
      </c>
      <c r="B61" s="2465"/>
      <c r="C61" s="2465"/>
      <c r="D61" s="1968">
        <v>2365</v>
      </c>
      <c r="E61" s="1978">
        <f>'Expenditures 15-22'!K323</f>
        <v>0</v>
      </c>
      <c r="F61" s="1973"/>
      <c r="G61" s="2032"/>
      <c r="H61" s="2033"/>
      <c r="I61" s="2033"/>
      <c r="J61" s="2033"/>
      <c r="K61" s="2033"/>
      <c r="L61" s="2033"/>
      <c r="M61" s="2033"/>
      <c r="N61" s="1976">
        <f t="shared" si="4"/>
        <v>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176681</v>
      </c>
      <c r="F63" s="1973"/>
      <c r="G63" s="2032">
        <v>15073</v>
      </c>
      <c r="H63" s="2033"/>
      <c r="I63" s="2033"/>
      <c r="J63" s="2033"/>
      <c r="K63" s="2033"/>
      <c r="L63" s="2033"/>
      <c r="M63" s="2033">
        <v>161608</v>
      </c>
      <c r="N63" s="1976">
        <f t="shared" si="4"/>
        <v>176681</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9018</v>
      </c>
      <c r="F65" s="1973"/>
      <c r="G65" s="2032"/>
      <c r="H65" s="2033"/>
      <c r="I65" s="2033"/>
      <c r="J65" s="2033"/>
      <c r="K65" s="2033"/>
      <c r="L65" s="2033"/>
      <c r="M65" s="2033">
        <v>9018</v>
      </c>
      <c r="N65" s="1976">
        <f t="shared" si="4"/>
        <v>9018</v>
      </c>
    </row>
    <row r="66" spans="1:14" ht="24" customHeight="1" x14ac:dyDescent="0.2">
      <c r="A66" s="2464" t="s">
        <v>469</v>
      </c>
      <c r="B66" s="2465"/>
      <c r="C66" s="2465"/>
      <c r="D66" s="1968">
        <v>2371</v>
      </c>
      <c r="E66" s="1978">
        <f>'Expenditures 15-22'!K328</f>
        <v>48501</v>
      </c>
      <c r="F66" s="1973"/>
      <c r="G66" s="2032"/>
      <c r="H66" s="2033"/>
      <c r="I66" s="2033"/>
      <c r="J66" s="2033"/>
      <c r="K66" s="2033"/>
      <c r="L66" s="2033"/>
      <c r="M66" s="2033">
        <v>48501</v>
      </c>
      <c r="N66" s="1976">
        <f t="shared" si="4"/>
        <v>48501</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249396</v>
      </c>
      <c r="F68" s="1974"/>
      <c r="G68" s="1975">
        <f t="shared" ref="G68:N68" si="5">SUM(G57:G67)</f>
        <v>15073</v>
      </c>
      <c r="H68" s="1975">
        <f t="shared" si="5"/>
        <v>0</v>
      </c>
      <c r="I68" s="1975">
        <f t="shared" si="5"/>
        <v>0</v>
      </c>
      <c r="J68" s="1975">
        <f t="shared" si="5"/>
        <v>0</v>
      </c>
      <c r="K68" s="1975">
        <f t="shared" si="5"/>
        <v>0</v>
      </c>
      <c r="L68" s="1975">
        <f t="shared" si="5"/>
        <v>0</v>
      </c>
      <c r="M68" s="1975">
        <f t="shared" si="5"/>
        <v>234323</v>
      </c>
      <c r="N68" s="1989">
        <f t="shared" si="5"/>
        <v>249396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2081</v>
      </c>
    </row>
    <row r="6" spans="1:2" x14ac:dyDescent="0.2">
      <c r="A6" s="847"/>
      <c r="B6" s="307" t="s">
        <v>2082</v>
      </c>
    </row>
    <row r="7" spans="1:2" x14ac:dyDescent="0.2">
      <c r="A7" s="847"/>
    </row>
    <row r="8" spans="1:2" x14ac:dyDescent="0.2">
      <c r="A8" s="847">
        <v>2</v>
      </c>
      <c r="B8" s="2037" t="s">
        <v>2083</v>
      </c>
    </row>
    <row r="9" spans="1:2" x14ac:dyDescent="0.2">
      <c r="A9" s="848"/>
      <c r="B9" s="2038" t="s">
        <v>2084</v>
      </c>
    </row>
    <row r="10" spans="1:2" x14ac:dyDescent="0.2">
      <c r="A10" s="848"/>
      <c r="B10" s="307" t="s">
        <v>2086</v>
      </c>
    </row>
    <row r="11" spans="1:2" x14ac:dyDescent="0.2">
      <c r="A11" s="848"/>
      <c r="B11" s="307" t="s">
        <v>2085</v>
      </c>
    </row>
    <row r="12" spans="1:2" x14ac:dyDescent="0.2">
      <c r="A12" s="848"/>
    </row>
    <row r="13" spans="1:2" x14ac:dyDescent="0.2">
      <c r="A13" s="848">
        <v>3</v>
      </c>
      <c r="B13" s="2037" t="s">
        <v>2087</v>
      </c>
    </row>
    <row r="14" spans="1:2" x14ac:dyDescent="0.2">
      <c r="A14" s="848"/>
      <c r="B14" s="2038" t="s">
        <v>2088</v>
      </c>
    </row>
    <row r="15" spans="1:2" x14ac:dyDescent="0.2">
      <c r="A15" s="848"/>
      <c r="B15" s="307" t="s">
        <v>2089</v>
      </c>
    </row>
    <row r="16" spans="1:2" x14ac:dyDescent="0.2">
      <c r="A16" s="848"/>
    </row>
    <row r="17" spans="1:2" x14ac:dyDescent="0.2">
      <c r="A17" s="848">
        <v>4</v>
      </c>
      <c r="B17" s="2037" t="s">
        <v>2090</v>
      </c>
    </row>
    <row r="18" spans="1:2" x14ac:dyDescent="0.2">
      <c r="A18" s="848"/>
      <c r="B18" s="2038" t="s">
        <v>2091</v>
      </c>
    </row>
    <row r="19" spans="1:2" x14ac:dyDescent="0.2">
      <c r="A19" s="848"/>
      <c r="B19" s="307" t="s">
        <v>2092</v>
      </c>
    </row>
    <row r="20" spans="1:2" x14ac:dyDescent="0.2">
      <c r="A20" s="848"/>
      <c r="B20" s="2038" t="s">
        <v>2093</v>
      </c>
    </row>
    <row r="21" spans="1:2" x14ac:dyDescent="0.2">
      <c r="A21" s="848"/>
      <c r="B21" s="307" t="s">
        <v>2095</v>
      </c>
    </row>
    <row r="22" spans="1:2" x14ac:dyDescent="0.2">
      <c r="A22" s="848"/>
      <c r="B22" s="307" t="s">
        <v>2094</v>
      </c>
    </row>
    <row r="23" spans="1:2" x14ac:dyDescent="0.2">
      <c r="A23" s="848"/>
    </row>
    <row r="24" spans="1:2" x14ac:dyDescent="0.2">
      <c r="A24" s="848">
        <v>5</v>
      </c>
      <c r="B24" s="2037" t="s">
        <v>2096</v>
      </c>
    </row>
    <row r="25" spans="1:2" x14ac:dyDescent="0.2">
      <c r="A25" s="848"/>
      <c r="B25" s="2038" t="s">
        <v>2088</v>
      </c>
    </row>
    <row r="26" spans="1:2" x14ac:dyDescent="0.2">
      <c r="A26" s="848"/>
      <c r="B26" s="307" t="s">
        <v>2097</v>
      </c>
    </row>
    <row r="27" spans="1:2" x14ac:dyDescent="0.2">
      <c r="A27" s="848"/>
    </row>
    <row r="28" spans="1:2" x14ac:dyDescent="0.2">
      <c r="A28" s="848">
        <v>6</v>
      </c>
      <c r="B28" s="2037" t="s">
        <v>2098</v>
      </c>
    </row>
    <row r="29" spans="1:2" x14ac:dyDescent="0.2">
      <c r="A29" s="848"/>
      <c r="B29" s="2038" t="s">
        <v>2088</v>
      </c>
    </row>
    <row r="30" spans="1:2" x14ac:dyDescent="0.2">
      <c r="A30" s="848"/>
      <c r="B30" s="307" t="s">
        <v>2099</v>
      </c>
    </row>
    <row r="31" spans="1:2" x14ac:dyDescent="0.2">
      <c r="A31" s="848"/>
    </row>
    <row r="32" spans="1:2" x14ac:dyDescent="0.2">
      <c r="A32" s="848">
        <v>7</v>
      </c>
      <c r="B32" s="2037" t="s">
        <v>2100</v>
      </c>
    </row>
    <row r="33" spans="1:2" x14ac:dyDescent="0.2">
      <c r="A33" s="848"/>
      <c r="B33" s="2038" t="s">
        <v>2101</v>
      </c>
    </row>
    <row r="34" spans="1:2" x14ac:dyDescent="0.2">
      <c r="A34" s="848"/>
      <c r="B34" s="307" t="s">
        <v>2102</v>
      </c>
    </row>
    <row r="35" spans="1:2" x14ac:dyDescent="0.2">
      <c r="A35" s="848"/>
    </row>
    <row r="36" spans="1:2" x14ac:dyDescent="0.2">
      <c r="A36" s="848">
        <v>8</v>
      </c>
      <c r="B36" s="2037" t="s">
        <v>2100</v>
      </c>
    </row>
    <row r="37" spans="1:2" x14ac:dyDescent="0.2">
      <c r="A37" s="848"/>
      <c r="B37" s="2038" t="s">
        <v>2103</v>
      </c>
    </row>
    <row r="38" spans="1:2" x14ac:dyDescent="0.2">
      <c r="A38" s="848"/>
      <c r="B38" s="307" t="s">
        <v>2104</v>
      </c>
    </row>
    <row r="39" spans="1:2" x14ac:dyDescent="0.2">
      <c r="A39" s="848"/>
    </row>
    <row r="40" spans="1:2" x14ac:dyDescent="0.2">
      <c r="A40" s="848">
        <v>9</v>
      </c>
      <c r="B40" s="2037" t="s">
        <v>2105</v>
      </c>
    </row>
    <row r="41" spans="1:2" x14ac:dyDescent="0.2">
      <c r="A41" s="848"/>
      <c r="B41" s="307" t="s">
        <v>2106</v>
      </c>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Bement CUSD 5</v>
      </c>
    </row>
    <row r="65" spans="2:2" x14ac:dyDescent="0.2">
      <c r="B65" s="849">
        <f>COVER!A13</f>
        <v>39074005026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3017438</v>
      </c>
      <c r="C8" s="1813">
        <f>'Acct Summary 7-8'!D8</f>
        <v>467509</v>
      </c>
      <c r="D8" s="1813">
        <f>'Acct Summary 7-8'!F8</f>
        <v>253570</v>
      </c>
      <c r="E8" s="1813">
        <f>'Acct Summary 7-8'!I8</f>
        <v>45174</v>
      </c>
      <c r="F8" s="1813">
        <f>SUM(B8:E8)</f>
        <v>3783691</v>
      </c>
    </row>
    <row r="9" spans="1:8" s="858" customFormat="1" ht="14.25" customHeight="1" thickBot="1" x14ac:dyDescent="0.25">
      <c r="A9" s="857" t="s">
        <v>1353</v>
      </c>
      <c r="B9" s="1814">
        <f>'Acct Summary 7-8'!C17</f>
        <v>2685064</v>
      </c>
      <c r="C9" s="1814">
        <f>'Acct Summary 7-8'!D17</f>
        <v>310233</v>
      </c>
      <c r="D9" s="1814">
        <f>'Acct Summary 7-8'!F17</f>
        <v>280305</v>
      </c>
      <c r="E9" s="1813"/>
      <c r="F9" s="1813">
        <f>SUM(B9:E9)</f>
        <v>3275602</v>
      </c>
    </row>
    <row r="10" spans="1:8" s="858" customFormat="1" ht="14.25" thickTop="1" thickBot="1" x14ac:dyDescent="0.25">
      <c r="A10" s="859" t="s">
        <v>1354</v>
      </c>
      <c r="B10" s="1815">
        <f>(B8-B9)</f>
        <v>332374</v>
      </c>
      <c r="C10" s="1815">
        <f>(C8-C9)</f>
        <v>157276</v>
      </c>
      <c r="D10" s="1815">
        <f>(D8-D9)</f>
        <v>-26735</v>
      </c>
      <c r="E10" s="1814">
        <f>(E8-E9)</f>
        <v>45174</v>
      </c>
      <c r="F10" s="1816">
        <f>SUM(F8-F9)</f>
        <v>508089</v>
      </c>
    </row>
    <row r="11" spans="1:8" s="858" customFormat="1" ht="14.25" thickTop="1" thickBot="1" x14ac:dyDescent="0.25">
      <c r="A11" s="860" t="s">
        <v>1903</v>
      </c>
      <c r="B11" s="1817">
        <f>'Acct Summary 7-8'!C81</f>
        <v>1088095</v>
      </c>
      <c r="C11" s="1817">
        <f>'Acct Summary 7-8'!D81</f>
        <v>361539</v>
      </c>
      <c r="D11" s="1817">
        <f>'Acct Summary 7-8'!F81</f>
        <v>52048</v>
      </c>
      <c r="E11" s="1817">
        <f>'Acct Summary 7-8'!I81</f>
        <v>879016</v>
      </c>
      <c r="F11" s="1818">
        <f>SUM(B11:E11)</f>
        <v>2380698</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39074005026</v>
      </c>
      <c r="E2" s="1542">
        <v>2020</v>
      </c>
      <c r="F2" s="1542">
        <v>1</v>
      </c>
      <c r="G2" s="1899">
        <v>101000300</v>
      </c>
    </row>
    <row r="3" spans="1:7" ht="15" x14ac:dyDescent="0.25">
      <c r="A3" t="s">
        <v>950</v>
      </c>
      <c r="B3" s="135" t="str">
        <f>COVER!A15</f>
        <v>PIATT</v>
      </c>
      <c r="E3" s="1830" t="s">
        <v>1971</v>
      </c>
      <c r="F3" s="1830" t="s">
        <v>1970</v>
      </c>
      <c r="G3" s="1899">
        <v>101000400</v>
      </c>
    </row>
    <row r="4" spans="1:7" ht="15" x14ac:dyDescent="0.25">
      <c r="A4" t="s">
        <v>1000</v>
      </c>
      <c r="B4" s="135" t="str">
        <f>COVER!A17</f>
        <v xml:space="preserve">  Bement CUSD 5</v>
      </c>
      <c r="E4" s="1828">
        <v>44119</v>
      </c>
      <c r="F4" s="1829">
        <v>44151</v>
      </c>
      <c r="G4" s="1899">
        <v>101000600</v>
      </c>
    </row>
    <row r="5" spans="1:7" ht="15" x14ac:dyDescent="0.25">
      <c r="A5" t="s">
        <v>699</v>
      </c>
      <c r="B5" s="135" t="str">
        <f>COVER!A38</f>
        <v>Sheila Greenwood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1088095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1080562</v>
      </c>
      <c r="D92" s="2" t="str">
        <f t="shared" si="0"/>
        <v>Error?</v>
      </c>
      <c r="G92" s="1899">
        <v>102640600</v>
      </c>
    </row>
    <row r="93" spans="1:7" ht="15" x14ac:dyDescent="0.25">
      <c r="A93" s="5">
        <v>32</v>
      </c>
      <c r="B93" s="1832">
        <f>'Assets-Liab 5-6'!C41</f>
        <v>1088095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361539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361539</v>
      </c>
      <c r="D123" s="2" t="str">
        <f t="shared" si="0"/>
        <v>Error?</v>
      </c>
      <c r="G123" s="1899">
        <v>203000400</v>
      </c>
    </row>
    <row r="124" spans="1:7" ht="15" x14ac:dyDescent="0.25">
      <c r="A124" s="5">
        <v>63</v>
      </c>
      <c r="B124" s="1832">
        <f>'Assets-Liab 5-6'!D41</f>
        <v>361539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14996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14996</v>
      </c>
      <c r="D140" s="2" t="str">
        <f t="shared" si="1"/>
        <v>Error?</v>
      </c>
    </row>
    <row r="141" spans="1:7" x14ac:dyDescent="0.2">
      <c r="A141" s="5">
        <v>80</v>
      </c>
      <c r="B141" s="1832">
        <f>'Assets-Liab 5-6'!E41</f>
        <v>14996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52048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52048</v>
      </c>
      <c r="D170" s="2" t="str">
        <f t="shared" si="1"/>
        <v>Error?</v>
      </c>
    </row>
    <row r="171" spans="1:4" x14ac:dyDescent="0.2">
      <c r="A171" s="5">
        <v>110</v>
      </c>
      <c r="B171" s="1832">
        <f>'Assets-Liab 5-6'!F41</f>
        <v>52048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109781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109781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115666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11357</v>
      </c>
      <c r="D212" s="2" t="str">
        <f t="shared" si="2"/>
        <v>Error?</v>
      </c>
    </row>
    <row r="213" spans="1:4" x14ac:dyDescent="0.2">
      <c r="A213" s="12">
        <v>152</v>
      </c>
      <c r="B213" s="1832">
        <f>'Assets-Liab 5-6'!H41</f>
        <v>115666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17419</v>
      </c>
      <c r="D273" s="2" t="str">
        <f t="shared" si="3"/>
        <v>Error?</v>
      </c>
    </row>
    <row r="274" spans="1:4" x14ac:dyDescent="0.2">
      <c r="A274" s="5">
        <v>213</v>
      </c>
      <c r="B274" s="1832">
        <f>'Assets-Liab 5-6'!M17</f>
        <v>3915790</v>
      </c>
      <c r="D274" s="2" t="str">
        <f t="shared" si="3"/>
        <v>Error?</v>
      </c>
    </row>
    <row r="275" spans="1:4" x14ac:dyDescent="0.2">
      <c r="A275" s="5">
        <v>214</v>
      </c>
      <c r="B275" s="1832">
        <f>'Assets-Liab 5-6'!M18</f>
        <v>1704361</v>
      </c>
      <c r="D275" s="2" t="str">
        <f t="shared" si="3"/>
        <v>Error?</v>
      </c>
    </row>
    <row r="276" spans="1:4" x14ac:dyDescent="0.2">
      <c r="A276" s="5">
        <v>215</v>
      </c>
      <c r="B276" s="1832">
        <f>'Assets-Liab 5-6'!M19</f>
        <v>1427322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7064892</v>
      </c>
      <c r="C279" s="2" t="s">
        <v>569</v>
      </c>
      <c r="D279" s="2" t="str">
        <f t="shared" si="3"/>
        <v>Error?</v>
      </c>
    </row>
    <row r="280" spans="1:4" x14ac:dyDescent="0.2">
      <c r="A280" s="5">
        <v>219</v>
      </c>
      <c r="B280" s="1832">
        <f>'Assets-Liab 5-6'!M40</f>
        <v>7064892</v>
      </c>
      <c r="D280" s="2" t="str">
        <f t="shared" si="3"/>
        <v>Error?</v>
      </c>
    </row>
    <row r="281" spans="1:4" x14ac:dyDescent="0.2">
      <c r="A281" s="5">
        <v>220</v>
      </c>
      <c r="B281" s="1832">
        <f>'Assets-Liab 5-6'!M41</f>
        <v>7064892</v>
      </c>
      <c r="C281" s="2" t="s">
        <v>569</v>
      </c>
      <c r="D281" s="2" t="str">
        <f t="shared" si="3"/>
        <v>Error?</v>
      </c>
    </row>
    <row r="282" spans="1:4" x14ac:dyDescent="0.2">
      <c r="A282" s="5">
        <v>221</v>
      </c>
      <c r="B282" s="1832">
        <f>'Assets-Liab 5-6'!N21</f>
        <v>14996</v>
      </c>
      <c r="D282" s="2" t="str">
        <f t="shared" si="3"/>
        <v>Error?</v>
      </c>
    </row>
    <row r="283" spans="1:4" x14ac:dyDescent="0.2">
      <c r="A283" s="5">
        <v>222</v>
      </c>
      <c r="B283" s="1832">
        <f>'Assets-Liab 5-6'!N22</f>
        <v>4022738</v>
      </c>
      <c r="D283" s="2" t="str">
        <f t="shared" si="3"/>
        <v>Error?</v>
      </c>
    </row>
    <row r="284" spans="1:4" x14ac:dyDescent="0.2">
      <c r="A284" s="5">
        <v>223</v>
      </c>
      <c r="B284" s="1832">
        <f>'Assets-Liab 5-6'!N23</f>
        <v>4037734</v>
      </c>
      <c r="C284" s="2" t="s">
        <v>569</v>
      </c>
      <c r="D284" s="2" t="str">
        <f t="shared" si="3"/>
        <v>Error?</v>
      </c>
    </row>
    <row r="285" spans="1:4" x14ac:dyDescent="0.2">
      <c r="A285" s="5">
        <v>224</v>
      </c>
      <c r="B285" s="1832">
        <f>'Assets-Liab 5-6'!N36</f>
        <v>4037734</v>
      </c>
      <c r="D285" s="2" t="str">
        <f t="shared" si="3"/>
        <v>Error?</v>
      </c>
    </row>
    <row r="286" spans="1:4" x14ac:dyDescent="0.2">
      <c r="A286" s="10">
        <v>225</v>
      </c>
      <c r="B286" s="1832"/>
      <c r="D286" s="2" t="str">
        <f t="shared" si="3"/>
        <v>OK</v>
      </c>
    </row>
    <row r="287" spans="1:4" x14ac:dyDescent="0.2">
      <c r="A287" s="5">
        <v>226</v>
      </c>
      <c r="B287" s="1832">
        <f>'Assets-Liab 5-6'!N37</f>
        <v>4037734</v>
      </c>
      <c r="C287" s="2" t="s">
        <v>569</v>
      </c>
      <c r="D287" s="2" t="str">
        <f t="shared" si="3"/>
        <v>Error?</v>
      </c>
    </row>
    <row r="288" spans="1:4" x14ac:dyDescent="0.2">
      <c r="A288" s="5">
        <v>227</v>
      </c>
      <c r="B288" s="1832">
        <f>'Assets-Liab 5-6'!N41</f>
        <v>4037734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909076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105622</v>
      </c>
      <c r="D717" s="2" t="str">
        <f t="shared" si="10"/>
        <v>Error?</v>
      </c>
    </row>
    <row r="718" spans="1:4" x14ac:dyDescent="0.2">
      <c r="A718" s="5">
        <v>657</v>
      </c>
      <c r="B718" s="1832">
        <f>'Expenditures 15-22'!C14</f>
        <v>109167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1270535</v>
      </c>
      <c r="C720" s="2" t="s">
        <v>569</v>
      </c>
      <c r="D720" s="2" t="str">
        <f t="shared" si="10"/>
        <v>Error?</v>
      </c>
    </row>
    <row r="721" spans="1:4" x14ac:dyDescent="0.2">
      <c r="A721" s="5">
        <v>660</v>
      </c>
      <c r="B721" s="1832">
        <f>'Expenditures 15-22'!C36</f>
        <v>33357</v>
      </c>
      <c r="D721" s="2" t="str">
        <f t="shared" si="10"/>
        <v>Error?</v>
      </c>
    </row>
    <row r="722" spans="1:4" x14ac:dyDescent="0.2">
      <c r="A722" s="5">
        <v>661</v>
      </c>
      <c r="B722" s="1832">
        <f>'Expenditures 15-22'!C37</f>
        <v>53330</v>
      </c>
      <c r="D722" s="2" t="str">
        <f t="shared" si="10"/>
        <v>Error?</v>
      </c>
    </row>
    <row r="723" spans="1:4" x14ac:dyDescent="0.2">
      <c r="A723" s="5">
        <v>662</v>
      </c>
      <c r="B723" s="1832">
        <f>'Expenditures 15-22'!C38</f>
        <v>200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19386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106273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8737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8737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111568</v>
      </c>
      <c r="D733" s="2" t="str">
        <f t="shared" si="10"/>
        <v>Error?</v>
      </c>
    </row>
    <row r="734" spans="1:4" x14ac:dyDescent="0.2">
      <c r="A734" s="5">
        <v>673</v>
      </c>
      <c r="B734" s="1832">
        <f>'Expenditures 15-22'!C53</f>
        <v>111568</v>
      </c>
      <c r="C734" s="2" t="s">
        <v>569</v>
      </c>
      <c r="D734" s="2" t="str">
        <f t="shared" si="10"/>
        <v>Error?</v>
      </c>
    </row>
    <row r="735" spans="1:4" x14ac:dyDescent="0.2">
      <c r="A735" s="5">
        <v>674</v>
      </c>
      <c r="B735" s="1832">
        <f>'Expenditures 15-22'!C55</f>
        <v>243607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243607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53498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53498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523683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1794218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233376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28958</v>
      </c>
      <c r="D775" s="2" t="str">
        <f t="shared" si="11"/>
        <v>Error?</v>
      </c>
    </row>
    <row r="776" spans="1:4" x14ac:dyDescent="0.2">
      <c r="A776" s="5">
        <v>715</v>
      </c>
      <c r="B776" s="1832">
        <f>'Expenditures 15-22'!D14</f>
        <v>26468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330845</v>
      </c>
      <c r="C778" s="2" t="s">
        <v>569</v>
      </c>
      <c r="D778" s="2" t="str">
        <f t="shared" si="11"/>
        <v>Error?</v>
      </c>
    </row>
    <row r="779" spans="1:4" x14ac:dyDescent="0.2">
      <c r="A779" s="5">
        <v>718</v>
      </c>
      <c r="B779" s="1832">
        <f>'Expenditures 15-22'!D36</f>
        <v>8342</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7130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7773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23245</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7130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7130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24117</v>
      </c>
      <c r="D791" s="2" t="str">
        <f t="shared" si="11"/>
        <v>Error?</v>
      </c>
    </row>
    <row r="792" spans="1:4" x14ac:dyDescent="0.2">
      <c r="A792" s="5">
        <v>731</v>
      </c>
      <c r="B792" s="1832">
        <f>'Expenditures 15-22'!D53</f>
        <v>24117</v>
      </c>
      <c r="C792" s="2" t="s">
        <v>569</v>
      </c>
      <c r="D792" s="2" t="str">
        <f t="shared" si="11"/>
        <v>Error?</v>
      </c>
    </row>
    <row r="793" spans="1:4" x14ac:dyDescent="0.2">
      <c r="A793" s="5">
        <v>732</v>
      </c>
      <c r="B793" s="1832">
        <f>'Expenditures 15-22'!D55</f>
        <v>38650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38650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7130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7130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100272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431117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44184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1907</v>
      </c>
      <c r="D833" s="2" t="str">
        <f t="shared" si="12"/>
        <v>Error?</v>
      </c>
    </row>
    <row r="834" spans="1:4" x14ac:dyDescent="0.2">
      <c r="A834" s="5">
        <v>773</v>
      </c>
      <c r="B834" s="1832">
        <f>'Expenditures 15-22'!E14</f>
        <v>12075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66112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260</v>
      </c>
      <c r="D838" s="2" t="str">
        <f t="shared" si="12"/>
        <v>Error?</v>
      </c>
    </row>
    <row r="839" spans="1:4" x14ac:dyDescent="0.2">
      <c r="A839" s="5">
        <v>778</v>
      </c>
      <c r="B839" s="1832">
        <f>'Expenditures 15-22'!E38</f>
        <v>151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411</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1680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1680</v>
      </c>
      <c r="C847" s="2" t="s">
        <v>569</v>
      </c>
      <c r="D847" s="2" t="str">
        <f t="shared" si="12"/>
        <v>Error?</v>
      </c>
    </row>
    <row r="848" spans="1:4" x14ac:dyDescent="0.2">
      <c r="A848" s="5">
        <v>787</v>
      </c>
      <c r="B848" s="1832">
        <f>'Expenditures 15-22'!E49</f>
        <v>20374</v>
      </c>
      <c r="D848" s="2" t="str">
        <f t="shared" si="12"/>
        <v>Error?</v>
      </c>
    </row>
    <row r="849" spans="1:4" x14ac:dyDescent="0.2">
      <c r="A849" s="5">
        <v>788</v>
      </c>
      <c r="B849" s="1832">
        <f>'Expenditures 15-22'!E50</f>
        <v>4668</v>
      </c>
      <c r="D849" s="2" t="str">
        <f t="shared" si="12"/>
        <v>Error?</v>
      </c>
    </row>
    <row r="850" spans="1:4" x14ac:dyDescent="0.2">
      <c r="A850" s="5">
        <v>789</v>
      </c>
      <c r="B850" s="1832">
        <f>'Expenditures 15-22'!E53</f>
        <v>25042</v>
      </c>
      <c r="C850" s="2" t="s">
        <v>569</v>
      </c>
      <c r="D850" s="2" t="str">
        <f t="shared" si="12"/>
        <v>Error?</v>
      </c>
    </row>
    <row r="851" spans="1:4" x14ac:dyDescent="0.2">
      <c r="A851" s="5">
        <v>790</v>
      </c>
      <c r="B851" s="1832">
        <f>'Expenditures 15-22'!E55</f>
        <v>2989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2989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20464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83212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103676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133798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278687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54192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10510</v>
      </c>
      <c r="D891" s="2" t="str">
        <f t="shared" si="12"/>
        <v>Error?</v>
      </c>
    </row>
    <row r="892" spans="1:4" x14ac:dyDescent="0.2">
      <c r="A892" s="5">
        <v>831</v>
      </c>
      <c r="B892" s="1832">
        <f>'Expenditures 15-22'!F14</f>
        <v>11229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109418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235</v>
      </c>
      <c r="D896" s="2" t="str">
        <f t="shared" si="13"/>
        <v>Error?</v>
      </c>
    </row>
    <row r="897" spans="1:4" x14ac:dyDescent="0.2">
      <c r="A897" s="5">
        <v>836</v>
      </c>
      <c r="B897" s="1832">
        <f>'Expenditures 15-22'!F38</f>
        <v>317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552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91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91</v>
      </c>
      <c r="C905" s="2" t="s">
        <v>569</v>
      </c>
      <c r="D905" s="2" t="str">
        <f t="shared" si="13"/>
        <v>Error?</v>
      </c>
    </row>
    <row r="906" spans="1:4" x14ac:dyDescent="0.2">
      <c r="A906" s="5">
        <v>845</v>
      </c>
      <c r="B906" s="1832">
        <f>'Expenditures 15-22'!F49</f>
        <v>267</v>
      </c>
      <c r="D906" s="2" t="str">
        <f t="shared" si="13"/>
        <v>Error?</v>
      </c>
    </row>
    <row r="907" spans="1:4" x14ac:dyDescent="0.2">
      <c r="A907" s="5">
        <v>846</v>
      </c>
      <c r="B907" s="1832">
        <f>'Expenditures 15-22'!F50</f>
        <v>12447</v>
      </c>
      <c r="D907" s="2" t="str">
        <f t="shared" si="13"/>
        <v>Error?</v>
      </c>
    </row>
    <row r="908" spans="1:4" x14ac:dyDescent="0.2">
      <c r="A908" s="5">
        <v>847</v>
      </c>
      <c r="B908" s="1832">
        <f>'Expenditures 15-22'!F53</f>
        <v>12714</v>
      </c>
      <c r="C908" s="2" t="s">
        <v>569</v>
      </c>
      <c r="D908" s="2" t="str">
        <f t="shared" si="13"/>
        <v>Error?</v>
      </c>
    </row>
    <row r="909" spans="1:4" x14ac:dyDescent="0.2">
      <c r="A909" s="5">
        <v>848</v>
      </c>
      <c r="B909" s="1832">
        <f>'Expenditures 15-22'!F55</f>
        <v>143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565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565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14065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123483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21650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21650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21650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2597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33312</v>
      </c>
      <c r="D1023" s="2" t="str">
        <f t="shared" ref="D1023:D1086" si="15">IF(ISBLANK(B1023),"OK",IF(A1023-B1023=0,"OK","Error?"))</f>
        <v>Error?</v>
      </c>
    </row>
    <row r="1024" spans="1:4" x14ac:dyDescent="0.2">
      <c r="A1024" s="5">
        <v>963</v>
      </c>
      <c r="B1024" s="1832">
        <f>'Expenditures 15-22'!H53</f>
        <v>33312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33312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35909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1262478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146997</v>
      </c>
      <c r="C1105" s="2" t="s">
        <v>569</v>
      </c>
      <c r="D1105" s="2" t="str">
        <f t="shared" si="16"/>
        <v>Error?</v>
      </c>
    </row>
    <row r="1106" spans="1:4" x14ac:dyDescent="0.2">
      <c r="A1106" s="5">
        <v>1045</v>
      </c>
      <c r="B1106" s="1832">
        <f>'Expenditures 15-22'!K14</f>
        <v>158939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1801157</v>
      </c>
      <c r="C1108" s="2" t="s">
        <v>569</v>
      </c>
      <c r="D1108" s="2" t="str">
        <f t="shared" si="16"/>
        <v>Error?</v>
      </c>
    </row>
    <row r="1109" spans="1:4" x14ac:dyDescent="0.2">
      <c r="A1109" s="5">
        <v>1048</v>
      </c>
      <c r="B1109" s="1832">
        <f>'Expenditures 15-22'!K36</f>
        <v>41699</v>
      </c>
      <c r="C1109" s="2" t="s">
        <v>569</v>
      </c>
      <c r="D1109" s="2" t="str">
        <f t="shared" si="16"/>
        <v>Error?</v>
      </c>
    </row>
    <row r="1110" spans="1:4" x14ac:dyDescent="0.2">
      <c r="A1110" s="5">
        <v>1049</v>
      </c>
      <c r="B1110" s="1832">
        <f>'Expenditures 15-22'!K37</f>
        <v>53825</v>
      </c>
      <c r="C1110" s="2" t="s">
        <v>569</v>
      </c>
      <c r="D1110" s="2" t="str">
        <f t="shared" si="16"/>
        <v>Error?</v>
      </c>
    </row>
    <row r="1111" spans="1:4" x14ac:dyDescent="0.2">
      <c r="A1111" s="5">
        <v>1050</v>
      </c>
      <c r="B1111" s="1832">
        <f>'Expenditures 15-22'!K38</f>
        <v>7798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27159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130481</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17638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17638</v>
      </c>
      <c r="C1119" s="2" t="s">
        <v>569</v>
      </c>
      <c r="D1119" s="2" t="str">
        <f t="shared" si="16"/>
        <v>Error?</v>
      </c>
    </row>
    <row r="1120" spans="1:4" x14ac:dyDescent="0.2">
      <c r="A1120" s="5">
        <v>1059</v>
      </c>
      <c r="B1120" s="1832">
        <f>'Expenditures 15-22'!K49</f>
        <v>20641</v>
      </c>
      <c r="C1120" s="2" t="s">
        <v>569</v>
      </c>
      <c r="D1120" s="2" t="str">
        <f t="shared" si="16"/>
        <v>Error?</v>
      </c>
    </row>
    <row r="1121" spans="1:4" x14ac:dyDescent="0.2">
      <c r="A1121" s="5">
        <v>1060</v>
      </c>
      <c r="B1121" s="1832">
        <f>'Expenditures 15-22'!K50</f>
        <v>186112</v>
      </c>
      <c r="C1121" s="2" t="s">
        <v>569</v>
      </c>
      <c r="D1121" s="2" t="str">
        <f t="shared" si="16"/>
        <v>Error?</v>
      </c>
    </row>
    <row r="1122" spans="1:4" x14ac:dyDescent="0.2">
      <c r="A1122" s="5">
        <v>1061</v>
      </c>
      <c r="B1122" s="1832">
        <f>'Expenditures 15-22'!K53</f>
        <v>206753</v>
      </c>
      <c r="C1122" s="2" t="s">
        <v>569</v>
      </c>
      <c r="D1122" s="2" t="str">
        <f t="shared" si="16"/>
        <v>Error?</v>
      </c>
    </row>
    <row r="1123" spans="1:4" x14ac:dyDescent="0.2">
      <c r="A1123" s="5">
        <v>1062</v>
      </c>
      <c r="B1123" s="1832">
        <f>'Expenditures 15-22'!K55</f>
        <v>285389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285389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81657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83212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164869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805130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78777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2685064</v>
      </c>
      <c r="C1152" s="2" t="s">
        <v>569</v>
      </c>
      <c r="D1152" s="2" t="str">
        <f t="shared" si="17"/>
        <v>Error?</v>
      </c>
    </row>
    <row r="1153" spans="1:4" x14ac:dyDescent="0.2">
      <c r="A1153" s="5">
        <v>1092</v>
      </c>
      <c r="B1153" s="1832">
        <f>'Expenditures 15-22'!K115</f>
        <v>332374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134394</v>
      </c>
      <c r="D1221" s="2" t="str">
        <f t="shared" si="18"/>
        <v>Error?</v>
      </c>
    </row>
    <row r="1222" spans="1:4" x14ac:dyDescent="0.2">
      <c r="A1222" s="10">
        <v>1161</v>
      </c>
      <c r="B1222" s="1832"/>
      <c r="D1222" s="2" t="str">
        <f t="shared" si="18"/>
        <v>OK</v>
      </c>
    </row>
    <row r="1223" spans="1:4" x14ac:dyDescent="0.2">
      <c r="A1223" s="5">
        <v>1162</v>
      </c>
      <c r="B1223" s="1832">
        <f>'Expenditures 15-22'!C127</f>
        <v>134394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134394</v>
      </c>
      <c r="C1225" s="2" t="s">
        <v>569</v>
      </c>
      <c r="D1225" s="2" t="str">
        <f t="shared" si="18"/>
        <v>Error?</v>
      </c>
    </row>
    <row r="1226" spans="1:4" x14ac:dyDescent="0.2">
      <c r="A1226" s="5">
        <v>1165</v>
      </c>
      <c r="B1226" s="1832">
        <f>'Expenditures 15-22'!C151</f>
        <v>134394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13130</v>
      </c>
      <c r="D1229" s="2" t="str">
        <f t="shared" si="18"/>
        <v>Error?</v>
      </c>
    </row>
    <row r="1230" spans="1:4" x14ac:dyDescent="0.2">
      <c r="A1230" s="10">
        <v>1169</v>
      </c>
      <c r="B1230" s="1832"/>
      <c r="D1230" s="2" t="str">
        <f t="shared" si="18"/>
        <v>OK</v>
      </c>
    </row>
    <row r="1231" spans="1:4" x14ac:dyDescent="0.2">
      <c r="A1231" s="5">
        <v>1170</v>
      </c>
      <c r="B1231" s="1832">
        <f>'Expenditures 15-22'!D127</f>
        <v>13130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13130</v>
      </c>
      <c r="C1233" s="2" t="s">
        <v>569</v>
      </c>
      <c r="D1233" s="2" t="str">
        <f t="shared" si="18"/>
        <v>Error?</v>
      </c>
    </row>
    <row r="1234" spans="1:4" x14ac:dyDescent="0.2">
      <c r="A1234" s="5">
        <v>1173</v>
      </c>
      <c r="B1234" s="1832">
        <f>'Expenditures 15-22'!D151</f>
        <v>13130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124671</v>
      </c>
      <c r="D1237" s="2" t="str">
        <f t="shared" si="18"/>
        <v>Error?</v>
      </c>
    </row>
    <row r="1238" spans="1:4" x14ac:dyDescent="0.2">
      <c r="A1238" s="10">
        <v>1177</v>
      </c>
      <c r="B1238" s="1832"/>
      <c r="D1238" s="2" t="str">
        <f t="shared" si="18"/>
        <v>OK</v>
      </c>
    </row>
    <row r="1239" spans="1:4" x14ac:dyDescent="0.2">
      <c r="A1239" s="5">
        <v>1178</v>
      </c>
      <c r="B1239" s="1832">
        <f>'Expenditures 15-22'!E127</f>
        <v>124671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124671</v>
      </c>
      <c r="C1241" s="2" t="s">
        <v>569</v>
      </c>
      <c r="D1241" s="2" t="str">
        <f t="shared" si="18"/>
        <v>Error?</v>
      </c>
    </row>
    <row r="1242" spans="1:4" x14ac:dyDescent="0.2">
      <c r="A1242" s="5">
        <v>1181</v>
      </c>
      <c r="B1242" s="1832">
        <f>'Expenditures 15-22'!E151</f>
        <v>124671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38038</v>
      </c>
      <c r="D1245" s="2" t="str">
        <f t="shared" si="18"/>
        <v>Error?</v>
      </c>
    </row>
    <row r="1246" spans="1:4" x14ac:dyDescent="0.2">
      <c r="A1246" s="10">
        <v>1185</v>
      </c>
      <c r="B1246" s="1832"/>
      <c r="D1246" s="2" t="str">
        <f t="shared" si="18"/>
        <v>OK</v>
      </c>
    </row>
    <row r="1247" spans="1:4" x14ac:dyDescent="0.2">
      <c r="A1247" s="5">
        <v>1186</v>
      </c>
      <c r="B1247" s="1832">
        <f>'Expenditures 15-22'!F127</f>
        <v>38038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38038</v>
      </c>
      <c r="C1249" s="2" t="s">
        <v>569</v>
      </c>
      <c r="D1249" s="2" t="str">
        <f t="shared" si="18"/>
        <v>Error?</v>
      </c>
    </row>
    <row r="1250" spans="1:4" x14ac:dyDescent="0.2">
      <c r="A1250" s="5">
        <v>1189</v>
      </c>
      <c r="B1250" s="1832">
        <f>'Expenditures 15-22'!F151</f>
        <v>38038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310233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310233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310233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310233</v>
      </c>
      <c r="C1288" s="2" t="s">
        <v>569</v>
      </c>
      <c r="D1288" s="2" t="str">
        <f t="shared" si="19"/>
        <v>Error?</v>
      </c>
    </row>
    <row r="1289" spans="1:4" x14ac:dyDescent="0.2">
      <c r="A1289" s="5">
        <v>1228</v>
      </c>
      <c r="B1289" s="1832">
        <f>'Expenditures 15-22'!K152</f>
        <v>157276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117236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250000</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369236</v>
      </c>
      <c r="C1317" s="2" t="s">
        <v>569</v>
      </c>
      <c r="D1317" s="2" t="str">
        <f t="shared" si="19"/>
        <v>Error?</v>
      </c>
    </row>
    <row r="1318" spans="1:4" x14ac:dyDescent="0.2">
      <c r="A1318" s="5">
        <v>1257</v>
      </c>
      <c r="B1318" s="1832">
        <f>'Expenditures 15-22'!H174</f>
        <v>369236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117236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250000</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369236</v>
      </c>
      <c r="C1331" s="2" t="s">
        <v>569</v>
      </c>
      <c r="D1331" s="2" t="str">
        <f t="shared" si="19"/>
        <v>Error?</v>
      </c>
    </row>
    <row r="1332" spans="1:4" x14ac:dyDescent="0.2">
      <c r="A1332" s="5">
        <v>1271</v>
      </c>
      <c r="B1332" s="1832">
        <f>'Expenditures 15-22'!K174</f>
        <v>369236</v>
      </c>
      <c r="C1332" s="2" t="s">
        <v>569</v>
      </c>
      <c r="D1332" s="2" t="str">
        <f t="shared" si="19"/>
        <v>Error?</v>
      </c>
    </row>
    <row r="1333" spans="1:4" x14ac:dyDescent="0.2">
      <c r="A1333" s="5">
        <v>1272</v>
      </c>
      <c r="B1333" s="1832">
        <f>'Expenditures 15-22'!K175</f>
        <v>11116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280305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280305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280305</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280305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280305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280305</v>
      </c>
      <c r="C1388" s="2" t="s">
        <v>569</v>
      </c>
      <c r="D1388" s="2" t="str">
        <f t="shared" si="20"/>
        <v>Error?</v>
      </c>
    </row>
    <row r="1389" spans="1:4" x14ac:dyDescent="0.2">
      <c r="A1389" s="5">
        <v>1328</v>
      </c>
      <c r="B1389" s="1832">
        <f>'Expenditures 15-22'!K211</f>
        <v>-26735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1483</v>
      </c>
      <c r="D1407" s="2" t="str">
        <f t="shared" ref="D1407:D1470" si="21">IF(ISBLANK(B1407),"OK",IF(A1407-B1407=0,"OK","Error?"))</f>
        <v>Error?</v>
      </c>
    </row>
    <row r="1408" spans="1:4" x14ac:dyDescent="0.2">
      <c r="A1408" s="5">
        <v>1347</v>
      </c>
      <c r="B1408" s="1832">
        <f>'Expenditures 15-22'!D223</f>
        <v>2214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29432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764</v>
      </c>
      <c r="D1412" s="2" t="str">
        <f t="shared" si="21"/>
        <v>Error?</v>
      </c>
    </row>
    <row r="1413" spans="1:4" x14ac:dyDescent="0.2">
      <c r="A1413" s="5">
        <v>1352</v>
      </c>
      <c r="B1413" s="1832">
        <f>'Expenditures 15-22'!D234</f>
        <v>3042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3806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1297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1297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1862</v>
      </c>
      <c r="D1423" s="2" t="str">
        <f t="shared" si="21"/>
        <v>Error?</v>
      </c>
    </row>
    <row r="1424" spans="1:4" x14ac:dyDescent="0.2">
      <c r="A1424" s="5">
        <v>1363</v>
      </c>
      <c r="B1424" s="1832">
        <f>'Expenditures 15-22'!D257</f>
        <v>1862</v>
      </c>
      <c r="C1424" s="2" t="s">
        <v>569</v>
      </c>
      <c r="D1424" s="2" t="str">
        <f t="shared" si="21"/>
        <v>Error?</v>
      </c>
    </row>
    <row r="1425" spans="1:4" x14ac:dyDescent="0.2">
      <c r="A1425" s="5">
        <v>1364</v>
      </c>
      <c r="B1425" s="1832">
        <f>'Expenditures 15-22'!D259</f>
        <v>12068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12068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6539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18183</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24722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43755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73187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1483</v>
      </c>
      <c r="C1471" s="2" t="s">
        <v>569</v>
      </c>
      <c r="D1471" s="2" t="str">
        <f t="shared" ref="D1471:D1534" si="22">IF(ISBLANK(B1471),"OK",IF(A1471-B1471=0,"OK","Error?"))</f>
        <v>Error?</v>
      </c>
    </row>
    <row r="1472" spans="1:4" x14ac:dyDescent="0.2">
      <c r="A1472" s="5">
        <v>1411</v>
      </c>
      <c r="B1472" s="1832">
        <f>'Expenditures 15-22'!K223</f>
        <v>2214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29432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764</v>
      </c>
      <c r="C1476" s="2" t="s">
        <v>569</v>
      </c>
      <c r="D1476" s="2" t="str">
        <f t="shared" si="22"/>
        <v>Error?</v>
      </c>
    </row>
    <row r="1477" spans="1:4" x14ac:dyDescent="0.2">
      <c r="A1477" s="5">
        <v>1416</v>
      </c>
      <c r="B1477" s="1832">
        <f>'Expenditures 15-22'!K234</f>
        <v>3042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3806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1297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1297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1862</v>
      </c>
      <c r="C1487" s="2" t="s">
        <v>569</v>
      </c>
      <c r="D1487" s="2" t="str">
        <f t="shared" si="22"/>
        <v>Error?</v>
      </c>
    </row>
    <row r="1488" spans="1:4" x14ac:dyDescent="0.2">
      <c r="A1488" s="5">
        <v>1427</v>
      </c>
      <c r="B1488" s="1832">
        <f>'Expenditures 15-22'!K257</f>
        <v>1862</v>
      </c>
      <c r="C1488" s="2" t="s">
        <v>569</v>
      </c>
      <c r="D1488" s="2" t="str">
        <f t="shared" si="22"/>
        <v>Error?</v>
      </c>
    </row>
    <row r="1489" spans="1:4" x14ac:dyDescent="0.2">
      <c r="A1489" s="5">
        <v>1428</v>
      </c>
      <c r="B1489" s="1832">
        <f>'Expenditures 15-22'!K259</f>
        <v>12068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12068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6539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18183</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24722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43755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73187</v>
      </c>
      <c r="C1517" s="2" t="s">
        <v>569</v>
      </c>
      <c r="D1517" s="2" t="str">
        <f t="shared" si="22"/>
        <v>Error?</v>
      </c>
    </row>
    <row r="1518" spans="1:4" x14ac:dyDescent="0.2">
      <c r="A1518" s="5">
        <v>1457</v>
      </c>
      <c r="B1518" s="1832">
        <f>'Expenditures 15-22'!K296</f>
        <v>-32042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73524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73524</v>
      </c>
      <c r="C1547" s="2" t="s">
        <v>569</v>
      </c>
      <c r="D1547" s="2" t="str">
        <f t="shared" si="23"/>
        <v>Error?</v>
      </c>
    </row>
    <row r="1548" spans="1:4" x14ac:dyDescent="0.2">
      <c r="A1548" s="5">
        <v>1487</v>
      </c>
      <c r="B1548" s="1832">
        <f>'Expenditures 15-22'!G312</f>
        <v>73524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73524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73524</v>
      </c>
      <c r="C1559" s="2" t="s">
        <v>569</v>
      </c>
      <c r="D1559" s="2" t="str">
        <f t="shared" si="23"/>
        <v>Error?</v>
      </c>
    </row>
    <row r="1560" spans="1:4" x14ac:dyDescent="0.2">
      <c r="A1560" s="5">
        <v>1499</v>
      </c>
      <c r="B1560" s="1832">
        <f>'Expenditures 15-22'!K312</f>
        <v>73524</v>
      </c>
      <c r="C1560" s="2" t="s">
        <v>569</v>
      </c>
      <c r="D1560" s="2" t="str">
        <f t="shared" si="23"/>
        <v>Error?</v>
      </c>
    </row>
    <row r="1561" spans="1:4" x14ac:dyDescent="0.2">
      <c r="A1561" s="5">
        <v>1500</v>
      </c>
      <c r="B1561" s="1832">
        <f>'Expenditures 15-22'!K313</f>
        <v>67436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755721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1088095</v>
      </c>
      <c r="C1630" s="2" t="s">
        <v>569</v>
      </c>
      <c r="D1630" s="2" t="str">
        <f t="shared" si="24"/>
        <v>Error?</v>
      </c>
    </row>
    <row r="1631" spans="1:4" x14ac:dyDescent="0.2">
      <c r="A1631" s="5">
        <v>1570</v>
      </c>
      <c r="B1631" s="1832">
        <f>'Acct Summary 7-8'!D79</f>
        <v>204263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361539</v>
      </c>
      <c r="C1644" s="2" t="s">
        <v>569</v>
      </c>
      <c r="D1644" s="2" t="str">
        <f t="shared" si="24"/>
        <v>Error?</v>
      </c>
    </row>
    <row r="1645" spans="1:4" x14ac:dyDescent="0.2">
      <c r="A1645" s="5">
        <v>1584</v>
      </c>
      <c r="B1645" s="1832">
        <f>'Acct Summary 7-8'!E79</f>
        <v>3880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14996</v>
      </c>
      <c r="C1658" s="2" t="s">
        <v>569</v>
      </c>
      <c r="D1658" s="2" t="str">
        <f t="shared" si="24"/>
        <v>Error?</v>
      </c>
    </row>
    <row r="1659" spans="1:4" x14ac:dyDescent="0.2">
      <c r="A1659" s="5">
        <v>1598</v>
      </c>
      <c r="B1659" s="1832">
        <f>'Acct Summary 7-8'!F79</f>
        <v>63783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52048</v>
      </c>
      <c r="C1672" s="2" t="s">
        <v>569</v>
      </c>
      <c r="D1672" s="2" t="str">
        <f t="shared" si="25"/>
        <v>Error?</v>
      </c>
    </row>
    <row r="1673" spans="1:4" x14ac:dyDescent="0.2">
      <c r="A1673" s="5">
        <v>1612</v>
      </c>
      <c r="B1673" s="1832">
        <f>'Acct Summary 7-8'!G79</f>
        <v>141823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109781</v>
      </c>
      <c r="C1686" s="2" t="s">
        <v>569</v>
      </c>
      <c r="D1686" s="2" t="str">
        <f t="shared" si="25"/>
        <v>Error?</v>
      </c>
    </row>
    <row r="1687" spans="1:4" x14ac:dyDescent="0.2">
      <c r="A1687" s="5">
        <v>1626</v>
      </c>
      <c r="B1687" s="1832">
        <f>'Acct Summary 7-8'!H79</f>
        <v>48230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115666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2012672</v>
      </c>
      <c r="C1744" s="2" t="s">
        <v>569</v>
      </c>
      <c r="D1744" s="2" t="str">
        <f t="shared" si="26"/>
        <v>Error?</v>
      </c>
    </row>
    <row r="1745" spans="1:5" x14ac:dyDescent="0.2">
      <c r="A1745" s="5">
        <v>1684</v>
      </c>
      <c r="B1745" s="1832">
        <f>'Tax Sched 23'!B5</f>
        <v>343067</v>
      </c>
      <c r="C1745" s="2" t="s">
        <v>569</v>
      </c>
      <c r="D1745" s="2" t="str">
        <f t="shared" si="26"/>
        <v>Error?</v>
      </c>
    </row>
    <row r="1746" spans="1:5" x14ac:dyDescent="0.2">
      <c r="A1746" s="5">
        <v>1685</v>
      </c>
      <c r="B1746" s="1832">
        <f>'Tax Sched 23'!B6</f>
        <v>377331</v>
      </c>
      <c r="C1746" s="2" t="s">
        <v>569</v>
      </c>
      <c r="D1746" s="2" t="str">
        <f t="shared" si="26"/>
        <v>Error?</v>
      </c>
    </row>
    <row r="1747" spans="1:5" x14ac:dyDescent="0.2">
      <c r="A1747" s="5">
        <v>1686</v>
      </c>
      <c r="B1747" s="1832">
        <f>'Tax Sched 23'!B7</f>
        <v>130693</v>
      </c>
      <c r="C1747" s="2" t="s">
        <v>569</v>
      </c>
      <c r="D1747" s="2" t="str">
        <f t="shared" si="26"/>
        <v>Error?</v>
      </c>
    </row>
    <row r="1748" spans="1:5" x14ac:dyDescent="0.2">
      <c r="A1748" s="5">
        <v>1687</v>
      </c>
      <c r="B1748" s="1832">
        <f>'Tax Sched 23'!B8</f>
        <v>19552</v>
      </c>
      <c r="C1748" s="2" t="s">
        <v>569</v>
      </c>
      <c r="D1748" s="2" t="str">
        <f t="shared" si="26"/>
        <v>Error?</v>
      </c>
    </row>
    <row r="1749" spans="1:5" x14ac:dyDescent="0.2">
      <c r="A1749" s="5">
        <v>1688</v>
      </c>
      <c r="B1749" s="1832">
        <f>'Tax Sched 23'!B10</f>
        <v>32674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246141</v>
      </c>
      <c r="C1752" s="2" t="s">
        <v>569</v>
      </c>
      <c r="D1752" s="2" t="str">
        <f t="shared" si="26"/>
        <v>Error?</v>
      </c>
    </row>
    <row r="1753" spans="1:5" x14ac:dyDescent="0.2">
      <c r="A1753" s="5">
        <v>1692</v>
      </c>
      <c r="B1753" s="1832">
        <f>'Tax Sched 23'!B12</f>
        <v>32674</v>
      </c>
      <c r="C1753" s="2" t="s">
        <v>569</v>
      </c>
      <c r="D1753" s="2" t="str">
        <f t="shared" si="26"/>
        <v>Error?</v>
      </c>
    </row>
    <row r="1754" spans="1:5" x14ac:dyDescent="0.2">
      <c r="A1754" s="5">
        <v>1693</v>
      </c>
      <c r="B1754" s="1832">
        <f>'Tax Sched 23'!B14</f>
        <v>26138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3273168</v>
      </c>
      <c r="C1759" s="2" t="s">
        <v>569</v>
      </c>
      <c r="D1759" s="2" t="str">
        <f t="shared" si="26"/>
        <v>Error?</v>
      </c>
    </row>
    <row r="1760" spans="1:5" x14ac:dyDescent="0.2">
      <c r="A1760" s="5">
        <v>1699</v>
      </c>
      <c r="B1760" s="1832">
        <f>'Tax Sched 23'!D4</f>
        <v>1999353</v>
      </c>
      <c r="C1760" s="2" t="s">
        <v>569</v>
      </c>
      <c r="D1760" s="2" t="str">
        <f t="shared" si="26"/>
        <v>Error?</v>
      </c>
    </row>
    <row r="1761" spans="1:7" x14ac:dyDescent="0.2">
      <c r="A1761" s="5">
        <v>1700</v>
      </c>
      <c r="B1761" s="1832">
        <f>'Tax Sched 23'!D5</f>
        <v>340797</v>
      </c>
      <c r="C1761" s="2" t="s">
        <v>569</v>
      </c>
      <c r="D1761" s="2" t="str">
        <f t="shared" si="26"/>
        <v>Error?</v>
      </c>
    </row>
    <row r="1762" spans="1:7" s="8" customFormat="1" x14ac:dyDescent="0.2">
      <c r="A1762" s="5">
        <v>1701</v>
      </c>
      <c r="B1762" s="1832">
        <f>'Tax Sched 23'!D6</f>
        <v>374811</v>
      </c>
      <c r="C1762" s="2" t="s">
        <v>569</v>
      </c>
      <c r="D1762" s="2" t="str">
        <f t="shared" si="26"/>
        <v>Error?</v>
      </c>
      <c r="E1762" s="9"/>
      <c r="G1762"/>
    </row>
    <row r="1763" spans="1:7" x14ac:dyDescent="0.2">
      <c r="A1763" s="5">
        <v>1702</v>
      </c>
      <c r="B1763" s="1832">
        <f>'Tax Sched 23'!D7</f>
        <v>129828</v>
      </c>
      <c r="C1763" s="2" t="s">
        <v>569</v>
      </c>
      <c r="D1763" s="2" t="str">
        <f t="shared" si="26"/>
        <v>Error?</v>
      </c>
    </row>
    <row r="1764" spans="1:7" x14ac:dyDescent="0.2">
      <c r="A1764" s="5">
        <v>1703</v>
      </c>
      <c r="B1764" s="1832">
        <f>'Tax Sched 23'!D8</f>
        <v>19421</v>
      </c>
      <c r="C1764" s="2" t="s">
        <v>569</v>
      </c>
      <c r="D1764" s="2" t="str">
        <f t="shared" si="26"/>
        <v>Error?</v>
      </c>
    </row>
    <row r="1765" spans="1:7" x14ac:dyDescent="0.2">
      <c r="A1765" s="5">
        <v>1704</v>
      </c>
      <c r="B1765" s="1832">
        <f>'Tax Sched 23'!D10</f>
        <v>32458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244512</v>
      </c>
      <c r="C1768" s="2" t="s">
        <v>569</v>
      </c>
      <c r="D1768" s="2" t="str">
        <f t="shared" si="26"/>
        <v>Error?</v>
      </c>
    </row>
    <row r="1769" spans="1:7" x14ac:dyDescent="0.2">
      <c r="A1769" s="5">
        <v>1708</v>
      </c>
      <c r="B1769" s="1832">
        <f>'Tax Sched 23'!D12</f>
        <v>32458</v>
      </c>
      <c r="C1769" s="2" t="s">
        <v>569</v>
      </c>
      <c r="D1769" s="2" t="str">
        <f t="shared" si="26"/>
        <v>Error?</v>
      </c>
    </row>
    <row r="1770" spans="1:7" x14ac:dyDescent="0.2">
      <c r="A1770" s="5">
        <v>1709</v>
      </c>
      <c r="B1770" s="1832">
        <f>'Tax Sched 23'!D14</f>
        <v>25965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3251482</v>
      </c>
      <c r="C1775" s="2" t="s">
        <v>569</v>
      </c>
      <c r="D1775" s="2" t="str">
        <f t="shared" si="26"/>
        <v>Error?</v>
      </c>
    </row>
    <row r="1776" spans="1:7" x14ac:dyDescent="0.2">
      <c r="A1776" s="5">
        <v>1715</v>
      </c>
      <c r="B1776" s="1832">
        <f>'Tax Sched 23'!C4</f>
        <v>13319</v>
      </c>
      <c r="D1776" s="2" t="str">
        <f t="shared" si="26"/>
        <v>Error?</v>
      </c>
    </row>
    <row r="1777" spans="1:4" x14ac:dyDescent="0.2">
      <c r="A1777" s="5">
        <v>1716</v>
      </c>
      <c r="B1777" s="1832">
        <f>'Tax Sched 23'!C5</f>
        <v>2270</v>
      </c>
      <c r="D1777" s="2" t="str">
        <f t="shared" si="26"/>
        <v>Error?</v>
      </c>
    </row>
    <row r="1778" spans="1:4" x14ac:dyDescent="0.2">
      <c r="A1778" s="5">
        <v>1717</v>
      </c>
      <c r="B1778" s="1832">
        <f>'Tax Sched 23'!C6</f>
        <v>2520</v>
      </c>
      <c r="D1778" s="2" t="str">
        <f t="shared" si="26"/>
        <v>Error?</v>
      </c>
    </row>
    <row r="1779" spans="1:4" x14ac:dyDescent="0.2">
      <c r="A1779" s="5">
        <v>1718</v>
      </c>
      <c r="B1779" s="1832">
        <f>'Tax Sched 23'!C7</f>
        <v>865</v>
      </c>
      <c r="D1779" s="2" t="str">
        <f t="shared" si="26"/>
        <v>Error?</v>
      </c>
    </row>
    <row r="1780" spans="1:4" x14ac:dyDescent="0.2">
      <c r="A1780" s="5">
        <v>1719</v>
      </c>
      <c r="B1780" s="1832">
        <f>'Tax Sched 23'!C8</f>
        <v>131</v>
      </c>
      <c r="D1780" s="2" t="str">
        <f t="shared" si="26"/>
        <v>Error?</v>
      </c>
    </row>
    <row r="1781" spans="1:4" x14ac:dyDescent="0.2">
      <c r="A1781" s="5">
        <v>1720</v>
      </c>
      <c r="B1781" s="1832">
        <f>'Tax Sched 23'!C10</f>
        <v>216</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1629</v>
      </c>
      <c r="D1784" s="2" t="str">
        <f t="shared" si="26"/>
        <v>Error?</v>
      </c>
    </row>
    <row r="1785" spans="1:4" x14ac:dyDescent="0.2">
      <c r="A1785" s="5">
        <v>1724</v>
      </c>
      <c r="B1785" s="1832">
        <f>'Tax Sched 23'!C12</f>
        <v>216</v>
      </c>
      <c r="D1785" s="2" t="str">
        <f t="shared" si="26"/>
        <v>Error?</v>
      </c>
    </row>
    <row r="1786" spans="1:4" x14ac:dyDescent="0.2">
      <c r="A1786" s="5">
        <v>1725</v>
      </c>
      <c r="B1786" s="1832">
        <f>'Tax Sched 23'!C14</f>
        <v>173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21686</v>
      </c>
      <c r="C1791" s="2" t="s">
        <v>569</v>
      </c>
      <c r="D1791" s="2" t="str">
        <f t="shared" ref="D1791:D1854" si="27">IF(ISBLANK(B1791),"OK",IF(A1791-B1791=0,"OK","Error?"))</f>
        <v>Error?</v>
      </c>
    </row>
    <row r="1792" spans="1:4" x14ac:dyDescent="0.2">
      <c r="A1792" s="5">
        <v>1731</v>
      </c>
      <c r="B1792" s="1832">
        <f>'Tax Sched 23'!F4</f>
        <v>2101182</v>
      </c>
      <c r="C1792" s="2" t="s">
        <v>569</v>
      </c>
      <c r="D1792" s="2" t="str">
        <f t="shared" si="27"/>
        <v>Error?</v>
      </c>
    </row>
    <row r="1793" spans="1:4" x14ac:dyDescent="0.2">
      <c r="A1793" s="5">
        <v>1732</v>
      </c>
      <c r="B1793" s="1832">
        <f>'Tax Sched 23'!F5</f>
        <v>358156</v>
      </c>
      <c r="C1793" s="2" t="s">
        <v>569</v>
      </c>
      <c r="D1793" s="2" t="str">
        <f t="shared" si="27"/>
        <v>Error?</v>
      </c>
    </row>
    <row r="1794" spans="1:4" x14ac:dyDescent="0.2">
      <c r="A1794" s="5">
        <v>1733</v>
      </c>
      <c r="B1794" s="1832">
        <f>'Tax Sched 23'!F6</f>
        <v>384214</v>
      </c>
      <c r="C1794" s="2" t="s">
        <v>569</v>
      </c>
      <c r="D1794" s="2" t="str">
        <f t="shared" si="27"/>
        <v>Error?</v>
      </c>
    </row>
    <row r="1795" spans="1:4" x14ac:dyDescent="0.2">
      <c r="A1795" s="5">
        <v>1734</v>
      </c>
      <c r="B1795" s="1832">
        <f>'Tax Sched 23'!F7</f>
        <v>136440</v>
      </c>
      <c r="C1795" s="2" t="s">
        <v>569</v>
      </c>
      <c r="D1795" s="2" t="str">
        <f t="shared" si="27"/>
        <v>Error?</v>
      </c>
    </row>
    <row r="1796" spans="1:4" x14ac:dyDescent="0.2">
      <c r="A1796" s="5">
        <v>1735</v>
      </c>
      <c r="B1796" s="1832">
        <f>'Tax Sched 23'!F8</f>
        <v>9872</v>
      </c>
      <c r="C1796" s="2" t="s">
        <v>569</v>
      </c>
      <c r="D1796" s="2" t="str">
        <f t="shared" si="27"/>
        <v>Error?</v>
      </c>
    </row>
    <row r="1797" spans="1:4" x14ac:dyDescent="0.2">
      <c r="A1797" s="5">
        <v>1736</v>
      </c>
      <c r="B1797" s="1832">
        <f>'Tax Sched 23'!F10</f>
        <v>34110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248376</v>
      </c>
      <c r="C1800" s="2" t="s">
        <v>569</v>
      </c>
      <c r="D1800" s="2" t="str">
        <f t="shared" si="27"/>
        <v>Error?</v>
      </c>
    </row>
    <row r="1801" spans="1:4" x14ac:dyDescent="0.2">
      <c r="A1801" s="5">
        <v>1740</v>
      </c>
      <c r="B1801" s="1832">
        <f>'Tax Sched 23'!F12</f>
        <v>34110</v>
      </c>
      <c r="C1801" s="2" t="s">
        <v>569</v>
      </c>
      <c r="D1801" s="2" t="str">
        <f t="shared" si="27"/>
        <v>Error?</v>
      </c>
    </row>
    <row r="1802" spans="1:4" x14ac:dyDescent="0.2">
      <c r="A1802" s="5">
        <v>1741</v>
      </c>
      <c r="B1802" s="1832">
        <f>'Tax Sched 23'!F14</f>
        <v>27288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3377730</v>
      </c>
      <c r="C1807" s="2" t="s">
        <v>569</v>
      </c>
      <c r="D1807" s="2" t="str">
        <f t="shared" si="27"/>
        <v>Error?</v>
      </c>
    </row>
    <row r="1808" spans="1:4" x14ac:dyDescent="0.2">
      <c r="A1808" s="5">
        <v>1747</v>
      </c>
      <c r="B1808" s="1832">
        <f>'Tax Sched 23'!E4</f>
        <v>2114501</v>
      </c>
      <c r="D1808" s="2" t="str">
        <f t="shared" si="27"/>
        <v>Error?</v>
      </c>
    </row>
    <row r="1809" spans="1:4" x14ac:dyDescent="0.2">
      <c r="A1809" s="5">
        <v>1748</v>
      </c>
      <c r="B1809" s="1832">
        <f>'Tax Sched 23'!E5</f>
        <v>360426</v>
      </c>
      <c r="D1809" s="2" t="str">
        <f t="shared" si="27"/>
        <v>Error?</v>
      </c>
    </row>
    <row r="1810" spans="1:4" x14ac:dyDescent="0.2">
      <c r="A1810" s="5">
        <v>1749</v>
      </c>
      <c r="B1810" s="1832">
        <f>'Tax Sched 23'!E6</f>
        <v>386734</v>
      </c>
      <c r="D1810" s="2" t="str">
        <f t="shared" si="27"/>
        <v>Error?</v>
      </c>
    </row>
    <row r="1811" spans="1:4" x14ac:dyDescent="0.2">
      <c r="A1811" s="5">
        <v>1750</v>
      </c>
      <c r="B1811" s="1832">
        <f>'Tax Sched 23'!E7</f>
        <v>137305</v>
      </c>
      <c r="D1811" s="2" t="str">
        <f t="shared" si="27"/>
        <v>Error?</v>
      </c>
    </row>
    <row r="1812" spans="1:4" x14ac:dyDescent="0.2">
      <c r="A1812" s="5">
        <v>1751</v>
      </c>
      <c r="B1812" s="1832">
        <f>'Tax Sched 23'!E8</f>
        <v>10003</v>
      </c>
      <c r="D1812" s="2" t="str">
        <f t="shared" si="27"/>
        <v>Error?</v>
      </c>
    </row>
    <row r="1813" spans="1:4" x14ac:dyDescent="0.2">
      <c r="A1813" s="5">
        <v>1752</v>
      </c>
      <c r="B1813" s="1832">
        <f>'Tax Sched 23'!E10</f>
        <v>34326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250005</v>
      </c>
      <c r="D1816" s="2" t="str">
        <f t="shared" si="27"/>
        <v>Error?</v>
      </c>
    </row>
    <row r="1817" spans="1:4" x14ac:dyDescent="0.2">
      <c r="A1817" s="5">
        <v>1756</v>
      </c>
      <c r="B1817" s="1832">
        <f>'Tax Sched 23'!E12</f>
        <v>34326</v>
      </c>
      <c r="D1817" s="2" t="str">
        <f t="shared" si="27"/>
        <v>Error?</v>
      </c>
    </row>
    <row r="1818" spans="1:4" x14ac:dyDescent="0.2">
      <c r="A1818" s="5">
        <v>1757</v>
      </c>
      <c r="B1818" s="1832">
        <f>'Tax Sched 23'!E14</f>
        <v>27461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3399416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4272734</v>
      </c>
      <c r="C1939" s="2" t="s">
        <v>569</v>
      </c>
      <c r="D1939" s="2" t="str">
        <f t="shared" si="29"/>
        <v>Error?</v>
      </c>
    </row>
    <row r="1940" spans="1:5" x14ac:dyDescent="0.2">
      <c r="A1940" s="5">
        <v>1879</v>
      </c>
      <c r="B1940" s="1832">
        <f>'Short-Term Long-Term Debt 24'!F49</f>
        <v>650000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26138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26138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26138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17419</v>
      </c>
      <c r="D2008" s="2" t="str">
        <f t="shared" si="30"/>
        <v>Error?</v>
      </c>
    </row>
    <row r="2009" spans="1:4" x14ac:dyDescent="0.2">
      <c r="A2009" s="5">
        <v>1948</v>
      </c>
      <c r="B2009" s="1832">
        <f>'Cap Outlay Deprec 26'!C8</f>
        <v>3915790</v>
      </c>
      <c r="D2009" s="2" t="str">
        <f t="shared" si="30"/>
        <v>Error?</v>
      </c>
    </row>
    <row r="2010" spans="1:4" x14ac:dyDescent="0.2">
      <c r="A2010" s="5">
        <v>1949</v>
      </c>
      <c r="B2010" s="1832">
        <f>'Cap Outlay Deprec 26'!C10</f>
        <v>1630837</v>
      </c>
      <c r="D2010" s="2" t="str">
        <f t="shared" si="30"/>
        <v>Error?</v>
      </c>
    </row>
    <row r="2011" spans="1:4" x14ac:dyDescent="0.2">
      <c r="A2011" s="5">
        <v>1950</v>
      </c>
      <c r="B2011" s="1832">
        <f>'Cap Outlay Deprec 26'!C12</f>
        <v>1405672</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6969718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73524</v>
      </c>
      <c r="D2016" s="2" t="str">
        <f t="shared" si="30"/>
        <v>Error?</v>
      </c>
    </row>
    <row r="2017" spans="1:4" x14ac:dyDescent="0.2">
      <c r="A2017" s="5">
        <v>1956</v>
      </c>
      <c r="B2017" s="1832">
        <f>'Cap Outlay Deprec 26'!D12</f>
        <v>21650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95174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17419</v>
      </c>
      <c r="C2026" s="2" t="s">
        <v>569</v>
      </c>
      <c r="D2026" s="2" t="str">
        <f t="shared" si="30"/>
        <v>Error?</v>
      </c>
    </row>
    <row r="2027" spans="1:4" x14ac:dyDescent="0.2">
      <c r="A2027" s="5">
        <v>1966</v>
      </c>
      <c r="B2027" s="1832">
        <f>'Cap Outlay Deprec 26'!F8</f>
        <v>3915790</v>
      </c>
      <c r="C2027" s="2" t="s">
        <v>569</v>
      </c>
      <c r="D2027" s="2" t="str">
        <f t="shared" si="30"/>
        <v>Error?</v>
      </c>
    </row>
    <row r="2028" spans="1:4" x14ac:dyDescent="0.2">
      <c r="A2028" s="5">
        <v>1967</v>
      </c>
      <c r="B2028" s="1832">
        <f>'Cap Outlay Deprec 26'!F10</f>
        <v>1704361</v>
      </c>
      <c r="C2028" s="2" t="s">
        <v>569</v>
      </c>
      <c r="D2028" s="2" t="str">
        <f t="shared" si="30"/>
        <v>Error?</v>
      </c>
    </row>
    <row r="2029" spans="1:4" x14ac:dyDescent="0.2">
      <c r="A2029" s="5">
        <v>1968</v>
      </c>
      <c r="B2029" s="1832">
        <f>'Cap Outlay Deprec 26'!F12</f>
        <v>1427322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7064892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2870223</v>
      </c>
      <c r="D2033" s="2" t="str">
        <f t="shared" si="30"/>
        <v>Error?</v>
      </c>
    </row>
    <row r="2034" spans="1:4" x14ac:dyDescent="0.2">
      <c r="A2034" s="5">
        <v>1973</v>
      </c>
      <c r="B2034" s="1832">
        <f>'Cap Outlay Deprec 26'!H10</f>
        <v>137180</v>
      </c>
      <c r="D2034" s="2" t="str">
        <f t="shared" si="30"/>
        <v>Error?</v>
      </c>
    </row>
    <row r="2035" spans="1:4" x14ac:dyDescent="0.2">
      <c r="A2035" s="5">
        <v>1974</v>
      </c>
      <c r="B2035" s="1832">
        <f>'Cap Outlay Deprec 26'!H12</f>
        <v>1397556</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4404959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78025</v>
      </c>
      <c r="D2039" s="2" t="str">
        <f t="shared" si="30"/>
        <v>Error?</v>
      </c>
    </row>
    <row r="2040" spans="1:4" x14ac:dyDescent="0.2">
      <c r="A2040" s="5">
        <v>1979</v>
      </c>
      <c r="B2040" s="1832">
        <f>'Cap Outlay Deprec 26'!I10</f>
        <v>85218</v>
      </c>
      <c r="D2040" s="2" t="str">
        <f t="shared" si="30"/>
        <v>Error?</v>
      </c>
    </row>
    <row r="2041" spans="1:4" x14ac:dyDescent="0.2">
      <c r="A2041" s="5">
        <v>1980</v>
      </c>
      <c r="B2041" s="1832">
        <f>'Cap Outlay Deprec 26'!I12</f>
        <v>3136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166379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2948248</v>
      </c>
      <c r="C2051" s="2" t="s">
        <v>569</v>
      </c>
      <c r="D2051" s="2" t="str">
        <f t="shared" si="31"/>
        <v>Error?</v>
      </c>
    </row>
    <row r="2052" spans="1:4" x14ac:dyDescent="0.2">
      <c r="A2052" s="5">
        <v>1991</v>
      </c>
      <c r="B2052" s="1832">
        <f>'Cap Outlay Deprec 26'!K10</f>
        <v>222398</v>
      </c>
      <c r="C2052" s="2" t="s">
        <v>569</v>
      </c>
      <c r="D2052" s="2" t="str">
        <f t="shared" si="31"/>
        <v>Error?</v>
      </c>
    </row>
    <row r="2053" spans="1:4" x14ac:dyDescent="0.2">
      <c r="A2053" s="5">
        <v>1992</v>
      </c>
      <c r="B2053" s="1832">
        <f>'Cap Outlay Deprec 26'!K12</f>
        <v>1400692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4571338</v>
      </c>
      <c r="C2055" s="2" t="s">
        <v>569</v>
      </c>
      <c r="D2055" s="2" t="str">
        <f t="shared" si="31"/>
        <v>Error?</v>
      </c>
    </row>
    <row r="2056" spans="1:4" x14ac:dyDescent="0.2">
      <c r="A2056" s="5">
        <v>1995</v>
      </c>
      <c r="B2056" s="1832">
        <f>'Cap Outlay Deprec 26'!L5</f>
        <v>17419</v>
      </c>
      <c r="C2056" s="2" t="s">
        <v>569</v>
      </c>
      <c r="D2056" s="2" t="str">
        <f t="shared" si="31"/>
        <v>Error?</v>
      </c>
    </row>
    <row r="2057" spans="1:4" x14ac:dyDescent="0.2">
      <c r="A2057" s="5">
        <v>1996</v>
      </c>
      <c r="B2057" s="1832">
        <f>'Cap Outlay Deprec 26'!L8</f>
        <v>967542</v>
      </c>
      <c r="C2057" s="2" t="s">
        <v>569</v>
      </c>
      <c r="D2057" s="2" t="str">
        <f t="shared" si="31"/>
        <v>Error?</v>
      </c>
    </row>
    <row r="2058" spans="1:4" x14ac:dyDescent="0.2">
      <c r="A2058" s="5">
        <v>1997</v>
      </c>
      <c r="B2058" s="1832">
        <f>'Cap Outlay Deprec 26'!L10</f>
        <v>1481963</v>
      </c>
      <c r="C2058" s="2" t="s">
        <v>569</v>
      </c>
      <c r="D2058" s="2" t="str">
        <f t="shared" si="31"/>
        <v>Error?</v>
      </c>
    </row>
    <row r="2059" spans="1:4" x14ac:dyDescent="0.2">
      <c r="A2059" s="5">
        <v>1998</v>
      </c>
      <c r="B2059" s="1832">
        <f>'Cap Outlay Deprec 26'!L12</f>
        <v>26630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2493554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78777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7533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109781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104309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2243423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535145</v>
      </c>
      <c r="C2553" s="2" t="s">
        <v>569</v>
      </c>
      <c r="D2553" s="2" t="str">
        <f t="shared" si="38"/>
        <v>Error?</v>
      </c>
    </row>
    <row r="2554" spans="1:4" x14ac:dyDescent="0.2">
      <c r="A2554" s="5">
        <v>2493</v>
      </c>
      <c r="B2554" s="1832">
        <f>'Acct Summary 7-8'!C7</f>
        <v>227854</v>
      </c>
      <c r="C2554" s="2" t="s">
        <v>569</v>
      </c>
      <c r="D2554" s="2" t="str">
        <f t="shared" si="38"/>
        <v>Error?</v>
      </c>
    </row>
    <row r="2555" spans="1:4" x14ac:dyDescent="0.2">
      <c r="A2555" s="5">
        <v>2494</v>
      </c>
      <c r="B2555" s="1832">
        <f>'Acct Summary 7-8'!C8</f>
        <v>3017438</v>
      </c>
      <c r="C2555" s="2" t="s">
        <v>569</v>
      </c>
      <c r="D2555" s="2" t="str">
        <f t="shared" si="38"/>
        <v>Error?</v>
      </c>
    </row>
    <row r="2556" spans="1:4" x14ac:dyDescent="0.2">
      <c r="A2556" s="5">
        <v>2495</v>
      </c>
      <c r="B2556" s="1832">
        <f>'Acct Summary 7-8'!C12</f>
        <v>1801157</v>
      </c>
      <c r="C2556" s="2" t="s">
        <v>569</v>
      </c>
      <c r="D2556" s="2" t="str">
        <f t="shared" si="38"/>
        <v>Error?</v>
      </c>
    </row>
    <row r="2557" spans="1:4" x14ac:dyDescent="0.2">
      <c r="A2557" s="5">
        <v>2496</v>
      </c>
      <c r="B2557" s="1832">
        <f>'Acct Summary 7-8'!C13</f>
        <v>805130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78777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2685064</v>
      </c>
      <c r="C2561" s="2" t="s">
        <v>569</v>
      </c>
      <c r="D2561" s="2" t="str">
        <f t="shared" si="39"/>
        <v>Error?</v>
      </c>
    </row>
    <row r="2562" spans="1:4" x14ac:dyDescent="0.2">
      <c r="A2562" s="5">
        <v>2501</v>
      </c>
      <c r="B2562" s="1832">
        <f>'Acct Summary 7-8'!C20</f>
        <v>332374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467509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467509</v>
      </c>
      <c r="C2568" s="2" t="s">
        <v>569</v>
      </c>
      <c r="D2568" s="2" t="str">
        <f t="shared" si="39"/>
        <v>Error?</v>
      </c>
    </row>
    <row r="2569" spans="1:4" x14ac:dyDescent="0.2">
      <c r="A2569" s="5">
        <v>2508</v>
      </c>
      <c r="B2569" s="1832">
        <f>'Acct Summary 7-8'!D13</f>
        <v>310233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310233</v>
      </c>
      <c r="C2573" s="2" t="s">
        <v>569</v>
      </c>
      <c r="D2573" s="2" t="str">
        <f t="shared" si="39"/>
        <v>Error?</v>
      </c>
    </row>
    <row r="2574" spans="1:4" x14ac:dyDescent="0.2">
      <c r="A2574" s="5">
        <v>2513</v>
      </c>
      <c r="B2574" s="1832">
        <f>'Acct Summary 7-8'!D20</f>
        <v>157276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130693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122877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253570</v>
      </c>
      <c r="C2595" s="2" t="s">
        <v>569</v>
      </c>
      <c r="D2595" s="2" t="str">
        <f t="shared" si="39"/>
        <v>Error?</v>
      </c>
    </row>
    <row r="2596" spans="1:4" x14ac:dyDescent="0.2">
      <c r="A2596" s="5">
        <v>2535</v>
      </c>
      <c r="B2596" s="1832">
        <f>'Acct Summary 7-8'!F13</f>
        <v>280305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280305</v>
      </c>
      <c r="C2600" s="2" t="s">
        <v>569</v>
      </c>
      <c r="D2600" s="2" t="str">
        <f t="shared" si="39"/>
        <v>Error?</v>
      </c>
    </row>
    <row r="2601" spans="1:4" x14ac:dyDescent="0.2">
      <c r="A2601" s="5">
        <v>2540</v>
      </c>
      <c r="B2601" s="1832">
        <f>'Acct Summary 7-8'!F20</f>
        <v>-26735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41145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41145</v>
      </c>
      <c r="C2606" s="2" t="s">
        <v>569</v>
      </c>
      <c r="D2606" s="2" t="str">
        <f t="shared" si="39"/>
        <v>Error?</v>
      </c>
    </row>
    <row r="2607" spans="1:4" x14ac:dyDescent="0.2">
      <c r="A2607" s="5">
        <v>2546</v>
      </c>
      <c r="B2607" s="1832">
        <f>'Acct Summary 7-8'!G12</f>
        <v>29432</v>
      </c>
      <c r="C2607" s="2" t="s">
        <v>569</v>
      </c>
      <c r="D2607" s="2" t="str">
        <f t="shared" si="39"/>
        <v>Error?</v>
      </c>
    </row>
    <row r="2608" spans="1:4" x14ac:dyDescent="0.2">
      <c r="A2608" s="5">
        <v>2547</v>
      </c>
      <c r="B2608" s="1832">
        <f>'Acct Summary 7-8'!G13</f>
        <v>43755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73187</v>
      </c>
      <c r="C2612" s="2" t="s">
        <v>569</v>
      </c>
      <c r="D2612" s="2" t="str">
        <f t="shared" si="39"/>
        <v>Error?</v>
      </c>
    </row>
    <row r="2613" spans="1:4" x14ac:dyDescent="0.2">
      <c r="A2613" s="5">
        <v>2552</v>
      </c>
      <c r="B2613" s="1832">
        <f>'Acct Summary 7-8'!G20</f>
        <v>-32042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380352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380352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369236</v>
      </c>
      <c r="C2634" s="2" t="s">
        <v>569</v>
      </c>
      <c r="D2634" s="2" t="str">
        <f t="shared" si="40"/>
        <v>Error?</v>
      </c>
    </row>
    <row r="2635" spans="1:4" x14ac:dyDescent="0.2">
      <c r="A2635" s="5">
        <v>2574</v>
      </c>
      <c r="B2635" s="1832">
        <f>'Acct Summary 7-8'!E17</f>
        <v>369236</v>
      </c>
      <c r="C2635" s="2" t="s">
        <v>569</v>
      </c>
      <c r="D2635" s="2" t="str">
        <f t="shared" si="40"/>
        <v>Error?</v>
      </c>
    </row>
    <row r="2636" spans="1:4" x14ac:dyDescent="0.2">
      <c r="A2636" s="5">
        <v>2575</v>
      </c>
      <c r="B2636" s="1832">
        <f>'Acct Summary 7-8'!E20</f>
        <v>11116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90960</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140960</v>
      </c>
      <c r="C2658" s="2" t="s">
        <v>569</v>
      </c>
      <c r="D2658" s="2" t="str">
        <f t="shared" si="40"/>
        <v>Error?</v>
      </c>
    </row>
    <row r="2659" spans="1:4" x14ac:dyDescent="0.2">
      <c r="A2659" s="5">
        <v>2598</v>
      </c>
      <c r="B2659" s="1832">
        <f>'Acct Summary 7-8'!H13</f>
        <v>73524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73524</v>
      </c>
      <c r="C2661" s="2" t="s">
        <v>569</v>
      </c>
      <c r="D2661" s="2" t="str">
        <f t="shared" si="40"/>
        <v>Error?</v>
      </c>
    </row>
    <row r="2662" spans="1:4" x14ac:dyDescent="0.2">
      <c r="A2662" s="5">
        <v>2601</v>
      </c>
      <c r="B2662" s="1832">
        <f>'Acct Summary 7-8'!H20</f>
        <v>67436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78777</v>
      </c>
      <c r="C2789" s="2" t="s">
        <v>569</v>
      </c>
      <c r="D2789" s="2" t="str">
        <f t="shared" si="42"/>
        <v>Error?</v>
      </c>
    </row>
    <row r="2790" spans="1:4" x14ac:dyDescent="0.2">
      <c r="A2790" s="5">
        <v>2729</v>
      </c>
      <c r="B2790" s="1832">
        <f>'Expenditures 15-22'!E102</f>
        <v>78777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512500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879016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11800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88252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879016</v>
      </c>
      <c r="D2912" s="2" t="str">
        <f t="shared" si="44"/>
        <v>Error?</v>
      </c>
    </row>
    <row r="2913" spans="1:4" x14ac:dyDescent="0.2">
      <c r="A2913" s="5">
        <v>2852</v>
      </c>
      <c r="B2913" s="1832">
        <f>'Assets-Liab 5-6'!I41</f>
        <v>879016</v>
      </c>
      <c r="C2913" s="2" t="s">
        <v>569</v>
      </c>
      <c r="D2913" s="2" t="str">
        <f t="shared" si="44"/>
        <v>Error?</v>
      </c>
    </row>
    <row r="2914" spans="1:4" x14ac:dyDescent="0.2">
      <c r="A2914" s="5">
        <v>2853</v>
      </c>
      <c r="B2914" s="1832">
        <f>'Assets-Liab 5-6'!L33</f>
        <v>88252</v>
      </c>
      <c r="D2914" s="2" t="str">
        <f t="shared" si="44"/>
        <v>Error?</v>
      </c>
    </row>
    <row r="2915" spans="1:4" x14ac:dyDescent="0.2">
      <c r="A2915" s="10">
        <v>2854</v>
      </c>
      <c r="B2915" s="1832"/>
      <c r="D2915" s="2" t="str">
        <f t="shared" si="44"/>
        <v>OK</v>
      </c>
    </row>
    <row r="2916" spans="1:4" x14ac:dyDescent="0.2">
      <c r="A2916" s="5">
        <v>2855</v>
      </c>
      <c r="B2916" s="1832">
        <f>'Assets-Liab 5-6'!L34</f>
        <v>88252</v>
      </c>
      <c r="C2916" s="2" t="s">
        <v>569</v>
      </c>
      <c r="D2916" s="2" t="str">
        <f t="shared" si="44"/>
        <v>Error?</v>
      </c>
    </row>
    <row r="2917" spans="1:4" x14ac:dyDescent="0.2">
      <c r="A2917" s="5">
        <v>2856</v>
      </c>
      <c r="B2917" s="1832">
        <f>'Assets-Liab 5-6'!L41</f>
        <v>88252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78777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78777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51589</v>
      </c>
      <c r="D3055" s="2" t="str">
        <f t="shared" si="46"/>
        <v>Error?</v>
      </c>
    </row>
    <row r="3056" spans="1:4" x14ac:dyDescent="0.2">
      <c r="A3056" s="5">
        <v>2995</v>
      </c>
      <c r="B3056" s="1832">
        <f>'Expenditures 15-22'!D10</f>
        <v>5669</v>
      </c>
      <c r="D3056" s="2" t="str">
        <f t="shared" si="46"/>
        <v>Error?</v>
      </c>
    </row>
    <row r="3057" spans="1:4" x14ac:dyDescent="0.2">
      <c r="A3057" s="5">
        <v>2996</v>
      </c>
      <c r="B3057" s="1832">
        <f>'Expenditures 15-22'!E10</f>
        <v>5036</v>
      </c>
      <c r="D3057" s="2" t="str">
        <f t="shared" si="46"/>
        <v>Error?</v>
      </c>
    </row>
    <row r="3058" spans="1:4" x14ac:dyDescent="0.2">
      <c r="A3058" s="5">
        <v>2997</v>
      </c>
      <c r="B3058" s="1832">
        <f>'Expenditures 15-22'!F10</f>
        <v>26975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2597</v>
      </c>
      <c r="D3060" s="2" t="str">
        <f t="shared" si="46"/>
        <v>Error?</v>
      </c>
    </row>
    <row r="3061" spans="1:4" x14ac:dyDescent="0.2">
      <c r="A3061" s="10">
        <v>3000</v>
      </c>
      <c r="B3061" s="1832"/>
      <c r="D3061" s="2" t="str">
        <f t="shared" si="46"/>
        <v>OK</v>
      </c>
    </row>
    <row r="3062" spans="1:4" x14ac:dyDescent="0.2">
      <c r="A3062" s="5">
        <v>3001</v>
      </c>
      <c r="B3062" s="1832">
        <f>'Expenditures 15-22'!K10</f>
        <v>91866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3954</v>
      </c>
      <c r="D3064" s="2" t="str">
        <f t="shared" si="46"/>
        <v>Error?</v>
      </c>
    </row>
    <row r="3065" spans="1:4" x14ac:dyDescent="0.2">
      <c r="A3065" s="5">
        <v>3004</v>
      </c>
      <c r="B3065" s="1832">
        <f>'Expenditures 15-22'!K219</f>
        <v>3954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650000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45174</v>
      </c>
      <c r="C3225" s="2" t="s">
        <v>569</v>
      </c>
      <c r="D3225" s="2" t="str">
        <f t="shared" si="49"/>
        <v>Error?</v>
      </c>
    </row>
    <row r="3226" spans="1:4" x14ac:dyDescent="0.2">
      <c r="A3226" s="5">
        <v>3165</v>
      </c>
      <c r="B3226" s="1832">
        <f>'Acct Summary 7-8'!I8</f>
        <v>45174</v>
      </c>
      <c r="C3226" s="2" t="s">
        <v>569</v>
      </c>
      <c r="D3226" s="2" t="str">
        <f t="shared" si="49"/>
        <v>Error?</v>
      </c>
    </row>
    <row r="3227" spans="1:4" x14ac:dyDescent="0.2">
      <c r="A3227" s="5">
        <v>3166</v>
      </c>
      <c r="B3227" s="1832">
        <f>'Acct Summary 7-8'!I20</f>
        <v>45174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332374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157276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15000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15000</v>
      </c>
      <c r="C3255" s="2" t="s">
        <v>569</v>
      </c>
      <c r="D3255" s="2" t="str">
        <f t="shared" si="49"/>
        <v>Error?</v>
      </c>
    </row>
    <row r="3256" spans="1:4" x14ac:dyDescent="0.2">
      <c r="A3256" s="5">
        <v>3195</v>
      </c>
      <c r="B3256" s="1832">
        <f>'Acct Summary 7-8'!F78</f>
        <v>-11735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-32042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650000</v>
      </c>
      <c r="C3274" s="2" t="s">
        <v>569</v>
      </c>
      <c r="D3274" s="2" t="str">
        <f t="shared" si="50"/>
        <v>Error?</v>
      </c>
    </row>
    <row r="3275" spans="1:4" x14ac:dyDescent="0.2">
      <c r="A3275" s="5">
        <v>3214</v>
      </c>
      <c r="B3275" s="1832">
        <f>'Acct Summary 7-8'!E75</f>
        <v>650000</v>
      </c>
      <c r="D3275" s="2" t="str">
        <f t="shared" si="50"/>
        <v>Error?</v>
      </c>
    </row>
    <row r="3276" spans="1:4" x14ac:dyDescent="0.2">
      <c r="A3276" s="5">
        <v>3215</v>
      </c>
      <c r="B3276" s="1832">
        <f>'Acct Summary 7-8'!E76</f>
        <v>650000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11116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67436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15000</v>
      </c>
      <c r="C3318" s="2" t="s">
        <v>569</v>
      </c>
      <c r="D3318" s="2" t="str">
        <f t="shared" si="50"/>
        <v>Error?</v>
      </c>
    </row>
    <row r="3319" spans="1:4" x14ac:dyDescent="0.2">
      <c r="A3319" s="5">
        <v>3258</v>
      </c>
      <c r="B3319" s="1832">
        <f>'Acct Summary 7-8'!I77</f>
        <v>-15000</v>
      </c>
      <c r="C3319" s="2" t="s">
        <v>569</v>
      </c>
      <c r="D3319" s="2" t="str">
        <f t="shared" si="50"/>
        <v>Error?</v>
      </c>
    </row>
    <row r="3320" spans="1:4" x14ac:dyDescent="0.2">
      <c r="A3320" s="5">
        <v>3259</v>
      </c>
      <c r="B3320" s="1832">
        <f>'Acct Summary 7-8'!I78</f>
        <v>30174</v>
      </c>
      <c r="C3320" s="2" t="s">
        <v>569</v>
      </c>
      <c r="D3320" s="2" t="str">
        <f t="shared" si="50"/>
        <v>Error?</v>
      </c>
    </row>
    <row r="3321" spans="1:4" x14ac:dyDescent="0.2">
      <c r="A3321" s="5">
        <v>3260</v>
      </c>
      <c r="B3321" s="1832">
        <f>'Acct Summary 7-8'!I79</f>
        <v>848842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879016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42960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17607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2835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680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64082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18867</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18867</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11016</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1088095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361539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14996</v>
      </c>
      <c r="D3417" s="2" t="str">
        <f t="shared" si="52"/>
        <v>Error?</v>
      </c>
    </row>
    <row r="3418" spans="1:4" x14ac:dyDescent="0.2">
      <c r="A3418" s="10">
        <v>3357</v>
      </c>
      <c r="B3418" s="1832"/>
      <c r="D3418" s="2" t="str">
        <f t="shared" si="52"/>
        <v>OK</v>
      </c>
    </row>
    <row r="3419" spans="1:4" x14ac:dyDescent="0.2">
      <c r="A3419" s="5">
        <v>3358</v>
      </c>
      <c r="B3419" s="1832">
        <f>'Assets-Liab 5-6'!F4</f>
        <v>52048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109781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115666</v>
      </c>
      <c r="D3425" s="2" t="str">
        <f t="shared" si="52"/>
        <v>Error?</v>
      </c>
    </row>
    <row r="3426" spans="1:4" x14ac:dyDescent="0.2">
      <c r="A3426" s="10">
        <v>3365</v>
      </c>
      <c r="B3426" s="1832"/>
      <c r="D3426" s="2" t="str">
        <f t="shared" si="52"/>
        <v>OK</v>
      </c>
    </row>
    <row r="3427" spans="1:4" x14ac:dyDescent="0.2">
      <c r="A3427" s="5">
        <v>3366</v>
      </c>
      <c r="B3427" s="1832">
        <f>'Assets-Liab 5-6'!I4</f>
        <v>366516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76452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19552</v>
      </c>
      <c r="C3446" s="2" t="s">
        <v>569</v>
      </c>
      <c r="D3446" s="2" t="str">
        <f t="shared" si="52"/>
        <v>Error?</v>
      </c>
    </row>
    <row r="3447" spans="1:4" x14ac:dyDescent="0.2">
      <c r="A3447" s="5">
        <v>3386</v>
      </c>
      <c r="B3447" s="1832">
        <f>'Tax Sched 23'!D16</f>
        <v>19421</v>
      </c>
      <c r="C3447" s="2" t="s">
        <v>569</v>
      </c>
      <c r="D3447" s="2" t="str">
        <f t="shared" si="52"/>
        <v>Error?</v>
      </c>
    </row>
    <row r="3448" spans="1:4" x14ac:dyDescent="0.2">
      <c r="A3448" s="5">
        <v>3387</v>
      </c>
      <c r="B3448" s="1832">
        <f>'Tax Sched 23'!C16</f>
        <v>131</v>
      </c>
      <c r="D3448" s="2" t="str">
        <f t="shared" si="52"/>
        <v>Error?</v>
      </c>
    </row>
    <row r="3449" spans="1:4" x14ac:dyDescent="0.2">
      <c r="A3449" s="5">
        <v>3388</v>
      </c>
      <c r="B3449" s="1832">
        <f>'Tax Sched 23'!F16</f>
        <v>9872</v>
      </c>
      <c r="C3449" s="2" t="s">
        <v>569</v>
      </c>
      <c r="D3449" s="2" t="str">
        <f t="shared" si="52"/>
        <v>Error?</v>
      </c>
    </row>
    <row r="3450" spans="1:4" x14ac:dyDescent="0.2">
      <c r="A3450" s="5">
        <v>3389</v>
      </c>
      <c r="B3450" s="1832">
        <f>'Tax Sched 23'!E16</f>
        <v>10003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79987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79987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79987</v>
      </c>
      <c r="D3567" s="2" t="str">
        <f t="shared" si="54"/>
        <v>Error?</v>
      </c>
    </row>
    <row r="3568" spans="1:4" x14ac:dyDescent="0.2">
      <c r="A3568" s="5">
        <v>3507</v>
      </c>
      <c r="B3568" s="1832">
        <f>'Assets-Liab 5-6'!K41</f>
        <v>79987</v>
      </c>
      <c r="C3568" s="2" t="s">
        <v>569</v>
      </c>
      <c r="D3568" s="2" t="str">
        <f t="shared" si="54"/>
        <v>Error?</v>
      </c>
    </row>
    <row r="3569" spans="1:4" x14ac:dyDescent="0.2">
      <c r="A3569" s="5">
        <v>3508</v>
      </c>
      <c r="B3569" s="1832">
        <f>'Acct Summary 7-8'!K4</f>
        <v>32674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32674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32674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32674</v>
      </c>
      <c r="C3588" s="2" t="s">
        <v>569</v>
      </c>
      <c r="D3588" s="2" t="str">
        <f t="shared" si="55"/>
        <v>Error?</v>
      </c>
    </row>
    <row r="3589" spans="1:4" x14ac:dyDescent="0.2">
      <c r="A3589" s="5">
        <v>3528</v>
      </c>
      <c r="B3589" s="1832">
        <f>'Acct Summary 7-8'!K79</f>
        <v>47313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79987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32674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32674</v>
      </c>
      <c r="C3725" s="2" t="s">
        <v>569</v>
      </c>
      <c r="D3725" s="2" t="str">
        <f t="shared" si="57"/>
        <v>Error?</v>
      </c>
    </row>
    <row r="3726" spans="1:4" x14ac:dyDescent="0.2">
      <c r="A3726" s="5">
        <v>3665</v>
      </c>
      <c r="B3726" s="1832">
        <f>'Tax Sched 23'!D13</f>
        <v>32458</v>
      </c>
      <c r="C3726" s="2" t="s">
        <v>569</v>
      </c>
      <c r="D3726" s="2" t="str">
        <f t="shared" si="57"/>
        <v>Error?</v>
      </c>
    </row>
    <row r="3727" spans="1:4" x14ac:dyDescent="0.2">
      <c r="A3727" s="5">
        <v>3666</v>
      </c>
      <c r="B3727" s="1832">
        <f>'Tax Sched 23'!C13</f>
        <v>216</v>
      </c>
      <c r="D3727" s="2" t="str">
        <f t="shared" si="57"/>
        <v>Error?</v>
      </c>
    </row>
    <row r="3728" spans="1:4" x14ac:dyDescent="0.2">
      <c r="A3728" s="5">
        <v>3667</v>
      </c>
      <c r="B3728" s="1832">
        <f>'Tax Sched 23'!F13</f>
        <v>34110</v>
      </c>
      <c r="C3728" s="2" t="s">
        <v>569</v>
      </c>
      <c r="D3728" s="2" t="str">
        <f t="shared" si="57"/>
        <v>Error?</v>
      </c>
    </row>
    <row r="3729" spans="1:4" x14ac:dyDescent="0.2">
      <c r="A3729" s="5">
        <v>3668</v>
      </c>
      <c r="B3729" s="1832">
        <f>'Tax Sched 23'!E13</f>
        <v>34326</v>
      </c>
      <c r="D3729" s="2" t="str">
        <f t="shared" si="57"/>
        <v>Error?</v>
      </c>
    </row>
    <row r="3730" spans="1:4" x14ac:dyDescent="0.2">
      <c r="A3730" s="5">
        <v>3669</v>
      </c>
      <c r="B3730" s="1832">
        <f>'ICR Computation 30'!E10</f>
        <v>83212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1405635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4423073</v>
      </c>
      <c r="C4122" s="2" t="s">
        <v>569</v>
      </c>
      <c r="D4122" s="2" t="str">
        <f t="shared" si="63"/>
        <v>Error?</v>
      </c>
    </row>
    <row r="4123" spans="1:4" x14ac:dyDescent="0.2">
      <c r="A4123" s="5">
        <v>4062</v>
      </c>
      <c r="B4123" s="1832">
        <f>'Acct Summary 7-8'!D10</f>
        <v>467509</v>
      </c>
      <c r="C4123" s="2" t="s">
        <v>569</v>
      </c>
      <c r="D4123" s="2" t="str">
        <f t="shared" si="63"/>
        <v>Error?</v>
      </c>
    </row>
    <row r="4124" spans="1:4" x14ac:dyDescent="0.2">
      <c r="A4124" s="5">
        <v>4063</v>
      </c>
      <c r="B4124" s="1832">
        <f>'Acct Summary 7-8'!E10</f>
        <v>380352</v>
      </c>
      <c r="C4124" s="2" t="s">
        <v>569</v>
      </c>
      <c r="D4124" s="2" t="str">
        <f t="shared" si="63"/>
        <v>Error?</v>
      </c>
    </row>
    <row r="4125" spans="1:4" x14ac:dyDescent="0.2">
      <c r="A4125" s="5">
        <v>4064</v>
      </c>
      <c r="B4125" s="1832">
        <f>'Acct Summary 7-8'!F10</f>
        <v>253570</v>
      </c>
      <c r="C4125" s="2" t="s">
        <v>569</v>
      </c>
      <c r="D4125" s="2" t="str">
        <f t="shared" si="63"/>
        <v>Error?</v>
      </c>
    </row>
    <row r="4126" spans="1:4" x14ac:dyDescent="0.2">
      <c r="A4126" s="5">
        <v>4065</v>
      </c>
      <c r="B4126" s="1832">
        <f>'Acct Summary 7-8'!G10</f>
        <v>41145</v>
      </c>
      <c r="C4126" s="2" t="s">
        <v>569</v>
      </c>
      <c r="D4126" s="2" t="str">
        <f t="shared" si="63"/>
        <v>Error?</v>
      </c>
    </row>
    <row r="4127" spans="1:4" x14ac:dyDescent="0.2">
      <c r="A4127" s="5">
        <v>4066</v>
      </c>
      <c r="B4127" s="1832">
        <f>'Acct Summary 7-8'!H10</f>
        <v>140960</v>
      </c>
      <c r="C4127" s="2" t="s">
        <v>569</v>
      </c>
      <c r="D4127" s="2" t="str">
        <f t="shared" si="63"/>
        <v>Error?</v>
      </c>
    </row>
    <row r="4128" spans="1:4" x14ac:dyDescent="0.2">
      <c r="A4128" s="5">
        <v>4067</v>
      </c>
      <c r="B4128" s="1832">
        <f>'Acct Summary 7-8'!I10</f>
        <v>45174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32674</v>
      </c>
      <c r="C4130" s="2" t="s">
        <v>569</v>
      </c>
      <c r="D4130" s="2" t="str">
        <f t="shared" si="63"/>
        <v>Error?</v>
      </c>
    </row>
    <row r="4131" spans="1:4" x14ac:dyDescent="0.2">
      <c r="A4131" s="5">
        <v>4070</v>
      </c>
      <c r="B4131" s="1832">
        <f>'Acct Summary 7-8'!C18</f>
        <v>1405635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4090699</v>
      </c>
      <c r="C4136" s="2" t="s">
        <v>569</v>
      </c>
      <c r="D4136" s="2" t="str">
        <f t="shared" si="63"/>
        <v>Error?</v>
      </c>
    </row>
    <row r="4137" spans="1:4" x14ac:dyDescent="0.2">
      <c r="A4137" s="5">
        <v>4076</v>
      </c>
      <c r="B4137" s="1832">
        <f>'Acct Summary 7-8'!D19</f>
        <v>310233</v>
      </c>
      <c r="C4137" s="2" t="s">
        <v>569</v>
      </c>
      <c r="D4137" s="2" t="str">
        <f t="shared" si="63"/>
        <v>Error?</v>
      </c>
    </row>
    <row r="4138" spans="1:4" x14ac:dyDescent="0.2">
      <c r="A4138" s="5">
        <v>4077</v>
      </c>
      <c r="B4138" s="1832">
        <f>'Acct Summary 7-8'!E19</f>
        <v>369236</v>
      </c>
      <c r="C4138" s="2" t="s">
        <v>569</v>
      </c>
      <c r="D4138" s="2" t="str">
        <f t="shared" si="63"/>
        <v>Error?</v>
      </c>
    </row>
    <row r="4139" spans="1:4" x14ac:dyDescent="0.2">
      <c r="A4139" s="5">
        <v>4078</v>
      </c>
      <c r="B4139" s="1832">
        <f>'Acct Summary 7-8'!F19</f>
        <v>280305</v>
      </c>
      <c r="C4139" s="2" t="s">
        <v>569</v>
      </c>
      <c r="D4139" s="2" t="str">
        <f t="shared" si="63"/>
        <v>Error?</v>
      </c>
    </row>
    <row r="4140" spans="1:4" x14ac:dyDescent="0.2">
      <c r="A4140" s="5">
        <v>4079</v>
      </c>
      <c r="B4140" s="1832">
        <f>'Acct Summary 7-8'!G19</f>
        <v>73187</v>
      </c>
      <c r="C4140" s="2" t="s">
        <v>569</v>
      </c>
      <c r="D4140" s="2" t="str">
        <f t="shared" si="63"/>
        <v>Error?</v>
      </c>
    </row>
    <row r="4141" spans="1:4" x14ac:dyDescent="0.2">
      <c r="A4141" s="5">
        <v>4080</v>
      </c>
      <c r="B4141" s="1832">
        <f>'Acct Summary 7-8'!H19</f>
        <v>73524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4037734</v>
      </c>
      <c r="C4171" s="2" t="s">
        <v>569</v>
      </c>
      <c r="D4171" s="2" t="str">
        <f t="shared" si="64"/>
        <v>Error?</v>
      </c>
    </row>
    <row r="4172" spans="1:4" x14ac:dyDescent="0.2">
      <c r="A4172" s="5">
        <v>4111</v>
      </c>
      <c r="B4172" s="1832">
        <f>'Short-Term Long-Term Debt 24'!J49</f>
        <v>4022738</v>
      </c>
      <c r="C4172" s="2" t="s">
        <v>569</v>
      </c>
      <c r="D4172" s="2" t="str">
        <f t="shared" si="64"/>
        <v>Error?</v>
      </c>
    </row>
    <row r="4173" spans="1:4" x14ac:dyDescent="0.2">
      <c r="A4173" s="5">
        <v>4112</v>
      </c>
      <c r="B4173" s="1832">
        <f>'Short-Term Long-Term Debt 24'!H49</f>
        <v>250000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-635000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5949</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3080</v>
      </c>
      <c r="C4265" s="2" t="s">
        <v>569</v>
      </c>
      <c r="D4265" s="2" t="str">
        <f t="shared" si="65"/>
        <v>Error?</v>
      </c>
      <c r="E4265" s="125"/>
    </row>
    <row r="4266" spans="1:5" x14ac:dyDescent="0.2">
      <c r="A4266" s="12">
        <v>4205</v>
      </c>
      <c r="B4266" s="1832">
        <f>('FP Info 3'!F10)*100000</f>
        <v>525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3805</v>
      </c>
      <c r="C4268" s="2" t="s">
        <v>569</v>
      </c>
      <c r="D4268" s="2" t="str">
        <f t="shared" si="65"/>
        <v>Error?</v>
      </c>
    </row>
    <row r="4269" spans="1:5" x14ac:dyDescent="0.2">
      <c r="A4269" s="12">
        <v>4208</v>
      </c>
      <c r="B4269" s="1832">
        <f>'FP Info 3'!J16</f>
        <v>2380698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2811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21504</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21504</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8576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6698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68652615</v>
      </c>
      <c r="D4995" s="2" t="str">
        <f t="shared" si="77"/>
        <v>Error?</v>
      </c>
    </row>
    <row r="4996" spans="1:4" x14ac:dyDescent="0.2">
      <c r="A4996" s="12">
        <v>4935</v>
      </c>
      <c r="B4996" s="1832">
        <f>'FP Info 3'!H31</f>
        <v>9474060.870000001</v>
      </c>
      <c r="D4996" s="2" t="str">
        <f t="shared" si="77"/>
        <v>Error?</v>
      </c>
    </row>
    <row r="4997" spans="1:4" x14ac:dyDescent="0.2">
      <c r="A4997" s="12">
        <v>4936</v>
      </c>
      <c r="B4997" s="1832">
        <f>'FP Info 3'!H37</f>
        <v>4037734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32674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2012672</v>
      </c>
      <c r="D5061" s="2" t="str">
        <f t="shared" si="78"/>
        <v>Error?</v>
      </c>
    </row>
    <row r="5062" spans="1:4" x14ac:dyDescent="0.2">
      <c r="A5062" s="10">
        <v>5001</v>
      </c>
      <c r="B5062" s="1832"/>
      <c r="D5062" s="2" t="str">
        <f t="shared" si="78"/>
        <v>OK</v>
      </c>
    </row>
    <row r="5063" spans="1:4" x14ac:dyDescent="0.2">
      <c r="A5063" s="5">
        <v>5002</v>
      </c>
      <c r="B5063" s="1832">
        <f>'Revenues 9-14'!C7</f>
        <v>26138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2071484</v>
      </c>
      <c r="C5066" s="2" t="s">
        <v>569</v>
      </c>
      <c r="D5066" s="2" t="str">
        <f t="shared" si="78"/>
        <v>Error?</v>
      </c>
    </row>
    <row r="5067" spans="1:4" x14ac:dyDescent="0.2">
      <c r="A5067" s="5">
        <v>5006</v>
      </c>
      <c r="B5067" s="1832">
        <f>'Revenues 9-14'!C14</f>
        <v>297</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80723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81020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3076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3076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94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534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20371</v>
      </c>
      <c r="C5096" s="2" t="s">
        <v>569</v>
      </c>
      <c r="D5096" s="2" t="str">
        <f t="shared" si="78"/>
        <v>Error?</v>
      </c>
    </row>
    <row r="5097" spans="1:4" x14ac:dyDescent="0.2">
      <c r="A5097" s="5">
        <v>5036</v>
      </c>
      <c r="B5097" s="1832">
        <f>'Revenues 9-14'!C77</f>
        <v>11194</v>
      </c>
      <c r="D5097" s="2" t="str">
        <f t="shared" si="78"/>
        <v>Error?</v>
      </c>
    </row>
    <row r="5098" spans="1:4" x14ac:dyDescent="0.2">
      <c r="A5098" s="5">
        <v>5037</v>
      </c>
      <c r="B5098" s="1832">
        <f>'Revenues 9-14'!C78</f>
        <v>6502</v>
      </c>
      <c r="D5098" s="2" t="str">
        <f t="shared" si="78"/>
        <v>Error?</v>
      </c>
    </row>
    <row r="5099" spans="1:4" x14ac:dyDescent="0.2">
      <c r="A5099" s="5">
        <v>5038</v>
      </c>
      <c r="B5099" s="1832">
        <f>'Revenues 9-14'!C79</f>
        <v>12530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30226</v>
      </c>
      <c r="C5102" s="2" t="s">
        <v>569</v>
      </c>
      <c r="D5102" s="2" t="str">
        <f t="shared" si="78"/>
        <v>Error?</v>
      </c>
    </row>
    <row r="5103" spans="1:4" x14ac:dyDescent="0.2">
      <c r="A5103" s="5">
        <v>5042</v>
      </c>
      <c r="B5103" s="1832">
        <f>'Revenues 9-14'!C84</f>
        <v>8500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8500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21092</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3564</v>
      </c>
      <c r="D5119" s="2" t="str">
        <f t="shared" ref="D5119:D5182" si="79">IF(ISBLANK(B5119),"OK",IF(A5119-B5119=0,"OK","Error?"))</f>
        <v>Error?</v>
      </c>
    </row>
    <row r="5120" spans="1:4" x14ac:dyDescent="0.2">
      <c r="A5120" s="5">
        <v>5059</v>
      </c>
      <c r="B5120" s="1832">
        <f>'Revenues 9-14'!C108</f>
        <v>28746</v>
      </c>
      <c r="C5120" s="2" t="s">
        <v>569</v>
      </c>
      <c r="D5120" s="2" t="str">
        <f t="shared" si="79"/>
        <v>Error?</v>
      </c>
    </row>
    <row r="5121" spans="1:4" x14ac:dyDescent="0.2">
      <c r="A5121" s="5">
        <v>5060</v>
      </c>
      <c r="B5121" s="1832">
        <f>'Revenues 9-14'!C109</f>
        <v>2243423</v>
      </c>
      <c r="C5121" s="2" t="s">
        <v>569</v>
      </c>
      <c r="D5121" s="2" t="str">
        <f t="shared" si="79"/>
        <v>Error?</v>
      </c>
    </row>
    <row r="5122" spans="1:4" x14ac:dyDescent="0.2">
      <c r="A5122" s="5">
        <v>5061</v>
      </c>
      <c r="B5122" s="1832">
        <f>'Revenues 9-14'!C111</f>
        <v>11016</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11016</v>
      </c>
      <c r="C5125" s="2" t="s">
        <v>569</v>
      </c>
      <c r="D5125" s="2" t="str">
        <f t="shared" si="79"/>
        <v>Error?</v>
      </c>
    </row>
    <row r="5126" spans="1:4" x14ac:dyDescent="0.2">
      <c r="A5126" s="5">
        <v>5065</v>
      </c>
      <c r="B5126" s="1832">
        <f>'Revenues 9-14'!C117</f>
        <v>432026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432026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2144</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2144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5949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615</v>
      </c>
      <c r="D5167" s="2" t="str">
        <f t="shared" si="79"/>
        <v>Error?</v>
      </c>
    </row>
    <row r="5168" spans="1:4" x14ac:dyDescent="0.2">
      <c r="A5168" s="5">
        <v>5107</v>
      </c>
      <c r="B5168" s="1832">
        <f>'Revenues 9-14'!C148</f>
        <v>3161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90500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103119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535145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34142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10941</v>
      </c>
      <c r="D5241" s="2" t="str">
        <f t="shared" si="80"/>
        <v>Error?</v>
      </c>
    </row>
    <row r="5242" spans="1:4" x14ac:dyDescent="0.2">
      <c r="A5242" s="5">
        <v>5181</v>
      </c>
      <c r="B5242" s="1832">
        <f>'Revenues 9-14'!C194</f>
        <v>21280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66363</v>
      </c>
      <c r="C5246" s="2" t="s">
        <v>569</v>
      </c>
      <c r="D5246" s="2" t="str">
        <f t="shared" si="80"/>
        <v>Error?</v>
      </c>
    </row>
    <row r="5247" spans="1:4" x14ac:dyDescent="0.2">
      <c r="A5247" s="5">
        <v>5186</v>
      </c>
      <c r="B5247" s="1832">
        <f>'Revenues 9-14'!C200</f>
        <v>45141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8576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45141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249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76512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76761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227854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227854</v>
      </c>
      <c r="C5326" s="2" t="s">
        <v>569</v>
      </c>
      <c r="D5326" s="2" t="str">
        <f t="shared" si="82"/>
        <v>Error?</v>
      </c>
    </row>
    <row r="5327" spans="1:5" x14ac:dyDescent="0.2">
      <c r="A5327" s="5">
        <v>5266</v>
      </c>
      <c r="B5327" s="1832">
        <f>'Revenues 9-14'!C268</f>
        <v>3017438</v>
      </c>
      <c r="C5327" s="2" t="s">
        <v>569</v>
      </c>
      <c r="D5327" s="2" t="str">
        <f t="shared" si="82"/>
        <v>Error?</v>
      </c>
    </row>
    <row r="5328" spans="1:5" x14ac:dyDescent="0.2">
      <c r="A5328" s="5">
        <v>5267</v>
      </c>
      <c r="B5328" s="1832">
        <f>'Revenues 9-14'!D5</f>
        <v>343067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343067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124322</v>
      </c>
      <c r="D5354" s="2" t="str">
        <f t="shared" si="82"/>
        <v>Error?</v>
      </c>
    </row>
    <row r="5355" spans="1:4" x14ac:dyDescent="0.2">
      <c r="A5355" s="5">
        <v>5294</v>
      </c>
      <c r="B5355" s="1832">
        <f>'Revenues 9-14'!D108</f>
        <v>124442</v>
      </c>
      <c r="C5355" s="2" t="s">
        <v>569</v>
      </c>
      <c r="D5355" s="2" t="str">
        <f t="shared" si="82"/>
        <v>Error?</v>
      </c>
    </row>
    <row r="5356" spans="1:4" x14ac:dyDescent="0.2">
      <c r="A5356" s="5">
        <v>5295</v>
      </c>
      <c r="B5356" s="1832">
        <f>'Revenues 9-14'!D109</f>
        <v>467509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467509</v>
      </c>
      <c r="C5508" s="2" t="s">
        <v>569</v>
      </c>
      <c r="D5508" s="2" t="str">
        <f t="shared" si="85"/>
        <v>Error?</v>
      </c>
    </row>
    <row r="5509" spans="1:4" x14ac:dyDescent="0.2">
      <c r="A5509" s="5">
        <v>5448</v>
      </c>
      <c r="B5509" s="1832">
        <f>'Revenues 9-14'!E5</f>
        <v>377331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377331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3021</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3021</v>
      </c>
      <c r="C5526" s="2" t="s">
        <v>569</v>
      </c>
      <c r="D5526" s="2" t="str">
        <f t="shared" si="85"/>
        <v>Error?</v>
      </c>
    </row>
    <row r="5527" spans="1:4" x14ac:dyDescent="0.2">
      <c r="A5527" s="5">
        <v>5466</v>
      </c>
      <c r="B5527" s="1832">
        <f>'Revenues 9-14'!E109</f>
        <v>380352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380352</v>
      </c>
      <c r="C5552" s="2" t="s">
        <v>569</v>
      </c>
      <c r="D5552" s="2" t="str">
        <f t="shared" si="85"/>
        <v>Error?</v>
      </c>
    </row>
    <row r="5553" spans="1:4" x14ac:dyDescent="0.2">
      <c r="A5553" s="5">
        <v>5492</v>
      </c>
      <c r="B5553" s="1832">
        <f>'Revenues 9-14'!F5</f>
        <v>130693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130693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130693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41110</v>
      </c>
      <c r="D5615" s="2" t="str">
        <f t="shared" si="86"/>
        <v>Error?</v>
      </c>
    </row>
    <row r="5616" spans="1:4" x14ac:dyDescent="0.2">
      <c r="A5616" s="10">
        <v>5555</v>
      </c>
      <c r="B5616" s="1832"/>
      <c r="D5616" s="2" t="str">
        <f t="shared" si="86"/>
        <v>OK</v>
      </c>
    </row>
    <row r="5617" spans="1:5" x14ac:dyDescent="0.2">
      <c r="A5617" s="5">
        <v>5556</v>
      </c>
      <c r="B5617" s="1832">
        <f>'Revenues 9-14'!F153</f>
        <v>81767</v>
      </c>
      <c r="D5617" s="2" t="str">
        <f t="shared" si="86"/>
        <v>Error?</v>
      </c>
    </row>
    <row r="5618" spans="1:5" x14ac:dyDescent="0.2">
      <c r="A5618" s="5">
        <v>5557</v>
      </c>
      <c r="B5618" s="1832">
        <f>'Revenues 9-14'!F155</f>
        <v>122877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122877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122877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253570</v>
      </c>
      <c r="C5720" s="2" t="s">
        <v>569</v>
      </c>
      <c r="D5720" s="2" t="str">
        <f t="shared" si="88"/>
        <v>Error?</v>
      </c>
    </row>
    <row r="5721" spans="1:4" x14ac:dyDescent="0.2">
      <c r="A5721" s="5">
        <v>5660</v>
      </c>
      <c r="B5721" s="1832">
        <f>'Revenues 9-14'!G5</f>
        <v>19552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19552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39104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2041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2041</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41145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90960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140960</v>
      </c>
      <c r="C5915" s="2" t="s">
        <v>569</v>
      </c>
      <c r="D5915" s="2" t="str">
        <f t="shared" si="91"/>
        <v>Error?</v>
      </c>
    </row>
    <row r="5916" spans="1:4" x14ac:dyDescent="0.2">
      <c r="A5916" s="5">
        <v>5855</v>
      </c>
      <c r="B5916" s="1832">
        <f>'Revenues 9-14'!I5</f>
        <v>32674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32674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12500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12500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45174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32674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32674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32674</v>
      </c>
      <c r="C6023" s="2" t="s">
        <v>569</v>
      </c>
      <c r="D6023" s="2" t="str">
        <f t="shared" si="93"/>
        <v>Error?</v>
      </c>
    </row>
    <row r="6024" spans="1:5" x14ac:dyDescent="0.2">
      <c r="A6024" s="5">
        <v>5963</v>
      </c>
      <c r="B6024" s="1832">
        <f>'Revenues 9-14'!G109</f>
        <v>41145</v>
      </c>
      <c r="C6024" s="2" t="s">
        <v>569</v>
      </c>
      <c r="D6024" s="2" t="str">
        <f t="shared" si="93"/>
        <v>Error?</v>
      </c>
    </row>
    <row r="6025" spans="1:5" x14ac:dyDescent="0.2">
      <c r="A6025" s="5">
        <v>5964</v>
      </c>
      <c r="B6025" s="1832">
        <f>'Revenues 9-14'!H109</f>
        <v>90960</v>
      </c>
      <c r="C6025" s="2" t="s">
        <v>569</v>
      </c>
      <c r="D6025" s="2" t="str">
        <f t="shared" si="93"/>
        <v>Error?</v>
      </c>
    </row>
    <row r="6026" spans="1:5" x14ac:dyDescent="0.2">
      <c r="A6026" s="5">
        <v>5965</v>
      </c>
      <c r="B6026" s="1832">
        <f>'Revenues 9-14'!I109</f>
        <v>45174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32674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19743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274.3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8138</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8138</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96084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96084</v>
      </c>
      <c r="D6215" s="2" t="str">
        <f t="shared" si="96"/>
        <v>Error?</v>
      </c>
      <c r="E6215" s="2" t="s">
        <v>189</v>
      </c>
    </row>
    <row r="6216" spans="1:5" x14ac:dyDescent="0.2">
      <c r="A6216">
        <v>6155</v>
      </c>
      <c r="B6216" s="1832">
        <f>'Assets-Liab 5-6'!J41</f>
        <v>96084</v>
      </c>
      <c r="D6216" s="2" t="str">
        <f t="shared" si="96"/>
        <v>Error?</v>
      </c>
      <c r="E6216" s="2" t="s">
        <v>189</v>
      </c>
    </row>
    <row r="6217" spans="1:5" x14ac:dyDescent="0.2">
      <c r="A6217">
        <v>6156</v>
      </c>
      <c r="B6217" s="1832">
        <f>'Assets-Liab 5-6'!J4</f>
        <v>96084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246570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246570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246570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249396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249396</v>
      </c>
      <c r="D6229" s="2" t="str">
        <f t="shared" si="96"/>
        <v>Error?</v>
      </c>
      <c r="E6229" s="2" t="s">
        <v>189</v>
      </c>
    </row>
    <row r="6230" spans="1:5" x14ac:dyDescent="0.2">
      <c r="A6230">
        <v>6169</v>
      </c>
      <c r="B6230" s="1832">
        <f>'Acct Summary 7-8'!J20</f>
        <v>-2826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-2826</v>
      </c>
      <c r="D6263" s="2" t="str">
        <f t="shared" si="96"/>
        <v>Error?</v>
      </c>
      <c r="E6263" s="2" t="s">
        <v>189</v>
      </c>
    </row>
    <row r="6264" spans="1:5" x14ac:dyDescent="0.2">
      <c r="A6264">
        <v>6203</v>
      </c>
      <c r="B6264" s="1832">
        <f>'Acct Summary 7-8'!J79</f>
        <v>98910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96084</v>
      </c>
      <c r="D6266" s="2" t="str">
        <f t="shared" si="96"/>
        <v>Error?</v>
      </c>
      <c r="E6266" s="2" t="s">
        <v>189</v>
      </c>
    </row>
    <row r="6267" spans="1:5" x14ac:dyDescent="0.2">
      <c r="A6267">
        <v>6206</v>
      </c>
      <c r="B6267" s="1832">
        <f>'Acct Summary 7-8'!C82</f>
        <v>332374</v>
      </c>
      <c r="D6267" s="2" t="str">
        <f t="shared" si="96"/>
        <v>Error?</v>
      </c>
      <c r="E6267" s="2" t="s">
        <v>189</v>
      </c>
    </row>
    <row r="6268" spans="1:5" x14ac:dyDescent="0.2">
      <c r="A6268">
        <v>6207</v>
      </c>
      <c r="B6268" s="1832">
        <f>'Acct Summary 7-8'!D82</f>
        <v>157276</v>
      </c>
      <c r="D6268" s="2" t="str">
        <f t="shared" si="96"/>
        <v>Error?</v>
      </c>
      <c r="E6268" s="2" t="s">
        <v>189</v>
      </c>
    </row>
    <row r="6269" spans="1:5" x14ac:dyDescent="0.2">
      <c r="A6269">
        <v>6208</v>
      </c>
      <c r="B6269" s="1832">
        <f>'Acct Summary 7-8'!E82</f>
        <v>11116</v>
      </c>
      <c r="D6269" s="2" t="str">
        <f t="shared" si="96"/>
        <v>Error?</v>
      </c>
      <c r="E6269" s="2" t="s">
        <v>189</v>
      </c>
    </row>
    <row r="6270" spans="1:5" x14ac:dyDescent="0.2">
      <c r="A6270">
        <v>6209</v>
      </c>
      <c r="B6270" s="1832">
        <f>'Acct Summary 7-8'!F82</f>
        <v>-11735</v>
      </c>
      <c r="D6270" s="2" t="str">
        <f t="shared" si="96"/>
        <v>Error?</v>
      </c>
      <c r="E6270" s="2" t="s">
        <v>189</v>
      </c>
    </row>
    <row r="6271" spans="1:5" x14ac:dyDescent="0.2">
      <c r="A6271">
        <v>6210</v>
      </c>
      <c r="B6271" s="1832">
        <f>'Acct Summary 7-8'!G82</f>
        <v>-32042</v>
      </c>
      <c r="D6271" s="2" t="str">
        <f t="shared" ref="D6271:D6334" si="97">IF(ISBLANK(B6271),"OK",IF(A6271-B6271=0,"OK","Error?"))</f>
        <v>Error?</v>
      </c>
      <c r="E6271" s="2" t="s">
        <v>189</v>
      </c>
    </row>
    <row r="6272" spans="1:5" x14ac:dyDescent="0.2">
      <c r="A6272">
        <v>6211</v>
      </c>
      <c r="B6272" s="1832">
        <f>'Acct Summary 7-8'!H82</f>
        <v>67436</v>
      </c>
      <c r="D6272" s="2" t="str">
        <f t="shared" si="97"/>
        <v>Error?</v>
      </c>
      <c r="E6272" s="2" t="s">
        <v>189</v>
      </c>
    </row>
    <row r="6273" spans="1:5" x14ac:dyDescent="0.2">
      <c r="A6273">
        <v>6212</v>
      </c>
      <c r="B6273" s="1832">
        <f>'Acct Summary 7-8'!I82</f>
        <v>30174</v>
      </c>
      <c r="D6273" s="2" t="str">
        <f t="shared" si="97"/>
        <v>Error?</v>
      </c>
      <c r="E6273" s="2" t="s">
        <v>189</v>
      </c>
    </row>
    <row r="6274" spans="1:5" x14ac:dyDescent="0.2">
      <c r="A6274">
        <v>6213</v>
      </c>
      <c r="B6274" s="1832">
        <f>'Acct Summary 7-8'!J82</f>
        <v>-2826</v>
      </c>
      <c r="D6274" s="2" t="str">
        <f t="shared" si="97"/>
        <v>Error?</v>
      </c>
      <c r="E6274" s="2" t="s">
        <v>189</v>
      </c>
    </row>
    <row r="6275" spans="1:5" x14ac:dyDescent="0.2">
      <c r="A6275">
        <v>6214</v>
      </c>
      <c r="B6275" s="1832">
        <f>'Acct Summary 7-8'!K82</f>
        <v>32674</v>
      </c>
      <c r="D6275" s="2" t="str">
        <f t="shared" si="97"/>
        <v>Error?</v>
      </c>
      <c r="E6275" s="2" t="s">
        <v>189</v>
      </c>
    </row>
    <row r="6276" spans="1:5" x14ac:dyDescent="0.2">
      <c r="A6276">
        <v>6215</v>
      </c>
      <c r="B6276" s="1832">
        <f>'Acct Summary 7-8'!C83</f>
        <v>0.30546413686304963</v>
      </c>
      <c r="D6276" s="2" t="str">
        <f t="shared" si="97"/>
        <v>Error?</v>
      </c>
      <c r="E6276" s="2" t="s">
        <v>189</v>
      </c>
    </row>
    <row r="6277" spans="1:5" x14ac:dyDescent="0.2">
      <c r="A6277">
        <v>6216</v>
      </c>
      <c r="B6277" s="1832">
        <f>'Acct Summary 7-8'!D83</f>
        <v>0.43501807550499394</v>
      </c>
      <c r="D6277" s="2" t="str">
        <f t="shared" si="97"/>
        <v>Error?</v>
      </c>
      <c r="E6277" s="2" t="s">
        <v>189</v>
      </c>
    </row>
    <row r="6278" spans="1:5" x14ac:dyDescent="0.2">
      <c r="A6278">
        <v>6217</v>
      </c>
      <c r="B6278" s="1832">
        <f>'Acct Summary 7-8'!E83</f>
        <v>0.74126433715657514</v>
      </c>
      <c r="D6278" s="2" t="str">
        <f t="shared" si="97"/>
        <v>Error?</v>
      </c>
      <c r="E6278" s="2" t="s">
        <v>189</v>
      </c>
    </row>
    <row r="6279" spans="1:5" x14ac:dyDescent="0.2">
      <c r="A6279">
        <v>6218</v>
      </c>
      <c r="B6279" s="1832">
        <f>'Acct Summary 7-8'!F83</f>
        <v>-0.22546495542576084</v>
      </c>
      <c r="D6279" s="2" t="str">
        <f t="shared" si="97"/>
        <v>Error?</v>
      </c>
      <c r="E6279" s="2" t="s">
        <v>189</v>
      </c>
    </row>
    <row r="6280" spans="1:5" x14ac:dyDescent="0.2">
      <c r="A6280">
        <v>6219</v>
      </c>
      <c r="B6280" s="1832">
        <f>'Acct Summary 7-8'!G83</f>
        <v>-0.29187199970851058</v>
      </c>
      <c r="D6280" s="2" t="str">
        <f t="shared" si="97"/>
        <v>Error?</v>
      </c>
      <c r="E6280" s="2" t="s">
        <v>189</v>
      </c>
    </row>
    <row r="6281" spans="1:5" x14ac:dyDescent="0.2">
      <c r="A6281">
        <v>6220</v>
      </c>
      <c r="B6281" s="1832">
        <f>'Acct Summary 7-8'!H83</f>
        <v>0.58302353327684886</v>
      </c>
      <c r="D6281" s="2" t="str">
        <f t="shared" si="97"/>
        <v>Error?</v>
      </c>
      <c r="E6281" s="2" t="s">
        <v>189</v>
      </c>
    </row>
    <row r="6282" spans="1:5" x14ac:dyDescent="0.2">
      <c r="A6282">
        <v>6221</v>
      </c>
      <c r="B6282" s="1832">
        <f>'Acct Summary 7-8'!I83</f>
        <v>3.4327020213511472E-2</v>
      </c>
      <c r="D6282" s="2" t="str">
        <f t="shared" si="97"/>
        <v>Error?</v>
      </c>
      <c r="E6282" s="2" t="s">
        <v>189</v>
      </c>
    </row>
    <row r="6283" spans="1:5" x14ac:dyDescent="0.2">
      <c r="A6283">
        <v>6222</v>
      </c>
      <c r="B6283" s="1832">
        <f>'Acct Summary 7-8'!J83</f>
        <v>-2.9411764705882353E-2</v>
      </c>
      <c r="D6283" s="2" t="str">
        <f t="shared" si="97"/>
        <v>Error?</v>
      </c>
      <c r="E6283" s="2" t="s">
        <v>189</v>
      </c>
    </row>
    <row r="6284" spans="1:5" x14ac:dyDescent="0.2">
      <c r="A6284">
        <v>6223</v>
      </c>
      <c r="B6284" s="1832">
        <f>'Acct Summary 7-8'!K83</f>
        <v>0.40849137984922551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246141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246141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429</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4090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429</v>
      </c>
      <c r="D6351" s="2" t="str">
        <f t="shared" si="98"/>
        <v>Error?</v>
      </c>
      <c r="E6351" s="2" t="s">
        <v>189</v>
      </c>
    </row>
    <row r="6352" spans="1:5" x14ac:dyDescent="0.2">
      <c r="A6352">
        <v>6291</v>
      </c>
      <c r="B6352" s="1832">
        <f>'Revenues 9-14'!J109</f>
        <v>246570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52121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76795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249396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246570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2914</v>
      </c>
      <c r="D7073" s="2" t="str">
        <f t="shared" si="109"/>
        <v>Error?</v>
      </c>
    </row>
    <row r="7074" spans="1:4" x14ac:dyDescent="0.2">
      <c r="A7074">
        <v>7013</v>
      </c>
      <c r="B7074" s="1832">
        <f>'Expenditures 15-22'!K216</f>
        <v>2914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15196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15196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164464</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12217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176681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9018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9018</v>
      </c>
      <c r="D7198" s="2" t="str">
        <f t="shared" si="111"/>
        <v>Error?</v>
      </c>
    </row>
    <row r="7199" spans="1:4" x14ac:dyDescent="0.2">
      <c r="A7199">
        <v>7138</v>
      </c>
      <c r="B7199" s="1832">
        <f>'Expenditures 15-22'!C330</f>
        <v>164464</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84932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249396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164464</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84932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249396</v>
      </c>
      <c r="D7224" s="2" t="str">
        <f t="shared" si="111"/>
        <v>Error?</v>
      </c>
    </row>
    <row r="7225" spans="1:4" x14ac:dyDescent="0.2">
      <c r="A7225">
        <v>7164</v>
      </c>
      <c r="B7225" s="1832">
        <f>'Expenditures 15-22'!K343</f>
        <v>-2826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18767</v>
      </c>
      <c r="D7246" s="2" t="str">
        <f t="shared" si="112"/>
        <v>Error?</v>
      </c>
    </row>
    <row r="7247" spans="1:4" x14ac:dyDescent="0.2">
      <c r="A7247">
        <f t="shared" si="113"/>
        <v>7186</v>
      </c>
      <c r="B7247" s="1832">
        <f>'Expenditures 15-22'!E7</f>
        <v>75</v>
      </c>
      <c r="D7247" s="2" t="str">
        <f t="shared" si="112"/>
        <v>Error?</v>
      </c>
    </row>
    <row r="7248" spans="1:4" x14ac:dyDescent="0.2">
      <c r="A7248">
        <f t="shared" si="113"/>
        <v>7187</v>
      </c>
      <c r="B7248" s="1832">
        <f>'Expenditures 15-22'!F7</f>
        <v>5832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166379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48501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48501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36873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4090</v>
      </c>
      <c r="D7712" s="2" t="str">
        <f t="shared" si="126"/>
        <v>Error?</v>
      </c>
      <c r="E7712" s="2" t="s">
        <v>822</v>
      </c>
    </row>
    <row r="7713" spans="1:6" x14ac:dyDescent="0.2">
      <c r="A7713">
        <v>7652</v>
      </c>
      <c r="B7713" s="1832">
        <f>'Rest Tax Levies-Tort Im 25'!J8</f>
        <v>90960</v>
      </c>
      <c r="D7713" s="2" t="str">
        <f t="shared" si="126"/>
        <v>Error?</v>
      </c>
      <c r="E7713" s="2" t="s">
        <v>822</v>
      </c>
    </row>
    <row r="7714" spans="1:6" x14ac:dyDescent="0.2">
      <c r="A7714">
        <v>7653</v>
      </c>
      <c r="B7714" s="1832">
        <f>'Rest Tax Levies-Tort Im 25'!K9</f>
        <v>3161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90960</v>
      </c>
      <c r="D7718" s="2" t="str">
        <f t="shared" si="126"/>
        <v>Error?</v>
      </c>
      <c r="E7718" s="2" t="s">
        <v>822</v>
      </c>
    </row>
    <row r="7719" spans="1:6" x14ac:dyDescent="0.2">
      <c r="A7719">
        <v>7658</v>
      </c>
      <c r="B7719" s="1832">
        <f>'Rest Tax Levies-Tort Im 25'!K12</f>
        <v>7251</v>
      </c>
      <c r="D7719" s="2" t="str">
        <f t="shared" si="126"/>
        <v>Error?</v>
      </c>
      <c r="E7719" s="2" t="s">
        <v>822</v>
      </c>
    </row>
    <row r="7720" spans="1:6" x14ac:dyDescent="0.2">
      <c r="A7720">
        <v>7659</v>
      </c>
      <c r="B7720" s="1832">
        <f>'Rest Tax Levies-Tort Im 25'!H14</f>
        <v>26138</v>
      </c>
      <c r="D7720" s="2" t="str">
        <f t="shared" si="126"/>
        <v>Error?</v>
      </c>
      <c r="E7720" s="2" t="s">
        <v>822</v>
      </c>
    </row>
    <row r="7721" spans="1:6" x14ac:dyDescent="0.2">
      <c r="A7721">
        <v>7660</v>
      </c>
      <c r="B7721" s="1832">
        <f>'Rest Tax Levies-Tort Im 25'!K14</f>
        <v>7251</v>
      </c>
      <c r="D7721" s="2" t="str">
        <f t="shared" si="126"/>
        <v>Error?</v>
      </c>
      <c r="E7721" s="2" t="s">
        <v>822</v>
      </c>
    </row>
    <row r="7722" spans="1:6" x14ac:dyDescent="0.2">
      <c r="A7722">
        <v>7661</v>
      </c>
      <c r="B7722" s="1832">
        <f>'Rest Tax Levies-Tort Im 25'!J15</f>
        <v>72199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72199</v>
      </c>
      <c r="D7730" s="2" t="str">
        <f t="shared" si="126"/>
        <v>Error?</v>
      </c>
      <c r="E7730" s="2" t="s">
        <v>822</v>
      </c>
    </row>
    <row r="7731" spans="1:6" x14ac:dyDescent="0.2">
      <c r="A7731">
        <v>7670</v>
      </c>
      <c r="B7731" s="1832">
        <f>'Revenues 9-14'!H103</f>
        <v>90960</v>
      </c>
      <c r="D7731" s="2" t="str">
        <f t="shared" si="126"/>
        <v>Error?</v>
      </c>
      <c r="E7731" s="2" t="s">
        <v>822</v>
      </c>
    </row>
    <row r="7732" spans="1:6" x14ac:dyDescent="0.2">
      <c r="A7732">
        <v>7671</v>
      </c>
      <c r="B7732" s="1832">
        <f>'Rest Tax Levies-Tort Im 25'!J24</f>
        <v>55634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55634</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15000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7251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5332734</v>
      </c>
      <c r="D7817" s="2" t="str">
        <f t="shared" si="128"/>
        <v>Error?</v>
      </c>
      <c r="E7817" s="4" t="s">
        <v>1966</v>
      </c>
    </row>
    <row r="7818" spans="1:5" x14ac:dyDescent="0.2">
      <c r="A7818">
        <v>7757</v>
      </c>
      <c r="B7818" s="1832">
        <f>'PCTC-OEPP 27-28'!F172</f>
        <v>79063</v>
      </c>
      <c r="D7818" s="2" t="str">
        <f t="shared" si="128"/>
        <v>Error?</v>
      </c>
      <c r="E7818" s="4" t="s">
        <v>1980</v>
      </c>
    </row>
    <row r="7819" spans="1:5" x14ac:dyDescent="0.2">
      <c r="A7819">
        <v>7758</v>
      </c>
      <c r="B7819" s="1832">
        <f>'PCTC-OEPP 27-28'!F173</f>
        <v>2</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3967421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76795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430136</v>
      </c>
      <c r="D7834" s="2" t="str">
        <f t="shared" si="129"/>
        <v>Error?</v>
      </c>
      <c r="E7834" s="4" t="s">
        <v>1998</v>
      </c>
    </row>
    <row r="7835" spans="1:5" x14ac:dyDescent="0.2">
      <c r="A7835">
        <v>7774</v>
      </c>
      <c r="B7835" s="1832">
        <f>'PCTC-OEPP 27-28'!F78</f>
        <v>3537285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12895.679912504556</v>
      </c>
      <c r="D7837" s="2" t="str">
        <f t="shared" si="129"/>
        <v>Error?</v>
      </c>
      <c r="E7837" s="4" t="s">
        <v>1998</v>
      </c>
    </row>
    <row r="7838" spans="1:5" x14ac:dyDescent="0.2">
      <c r="A7838">
        <v>7777</v>
      </c>
      <c r="B7838" s="1832">
        <f>'PCTC-OEPP 27-28'!F96</f>
        <v>30226</v>
      </c>
      <c r="D7838" s="2" t="str">
        <f t="shared" si="129"/>
        <v>Error?</v>
      </c>
      <c r="E7838" s="4" t="s">
        <v>1998</v>
      </c>
    </row>
    <row r="7839" spans="1:5" x14ac:dyDescent="0.2">
      <c r="A7839">
        <v>7778</v>
      </c>
      <c r="B7839" s="1832">
        <f>'PCTC-OEPP 27-28'!F102</f>
        <v>120</v>
      </c>
      <c r="D7839" s="2" t="str">
        <f t="shared" si="129"/>
        <v>Error?</v>
      </c>
      <c r="E7839" s="4" t="s">
        <v>1998</v>
      </c>
    </row>
    <row r="7840" spans="1:5" x14ac:dyDescent="0.2">
      <c r="A7840">
        <v>7779</v>
      </c>
      <c r="B7840" s="1832">
        <f>'PCTC-OEPP 27-28'!F103</f>
        <v>21092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2144</v>
      </c>
      <c r="D7842" s="2" t="str">
        <f t="shared" si="129"/>
        <v>Error?</v>
      </c>
      <c r="E7842" s="4" t="s">
        <v>1998</v>
      </c>
    </row>
    <row r="7843" spans="1:5" x14ac:dyDescent="0.2">
      <c r="A7843">
        <v>7782</v>
      </c>
      <c r="B7843" s="1832">
        <f>'PCTC-OEPP 27-28'!F107</f>
        <v>5949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3161</v>
      </c>
      <c r="D7846" s="2" t="str">
        <f t="shared" si="129"/>
        <v>Error?</v>
      </c>
      <c r="E7846" s="4" t="s">
        <v>1998</v>
      </c>
    </row>
    <row r="7847" spans="1:5" x14ac:dyDescent="0.2">
      <c r="A7847">
        <v>7786</v>
      </c>
      <c r="B7847" s="1832">
        <f>'PCTC-OEPP 27-28'!F112</f>
        <v>122877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21504</v>
      </c>
      <c r="D7857" s="2" t="str">
        <f t="shared" si="129"/>
        <v>Error?</v>
      </c>
      <c r="E7857" s="4" t="s">
        <v>1998</v>
      </c>
    </row>
    <row r="7858" spans="1:5" x14ac:dyDescent="0.2">
      <c r="A7858">
        <v>7797</v>
      </c>
      <c r="B7858" s="1832">
        <f>'PCTC-OEPP 27-28'!F126</f>
        <v>66363</v>
      </c>
      <c r="D7858" s="2" t="str">
        <f t="shared" si="129"/>
        <v>Error?</v>
      </c>
      <c r="E7858" s="4" t="s">
        <v>1998</v>
      </c>
    </row>
    <row r="7859" spans="1:5" x14ac:dyDescent="0.2">
      <c r="A7859">
        <v>7798</v>
      </c>
      <c r="B7859" s="1832">
        <f>'PCTC-OEPP 27-28'!F127</f>
        <v>45141</v>
      </c>
      <c r="D7859" s="2" t="str">
        <f t="shared" si="129"/>
        <v>Error?</v>
      </c>
      <c r="E7859" s="4" t="s">
        <v>1998</v>
      </c>
    </row>
    <row r="7860" spans="1:5" x14ac:dyDescent="0.2">
      <c r="A7860">
        <v>7799</v>
      </c>
      <c r="B7860" s="1832">
        <f>'PCTC-OEPP 27-28'!F128</f>
        <v>8576</v>
      </c>
      <c r="D7860" s="2" t="str">
        <f t="shared" si="129"/>
        <v>Error?</v>
      </c>
      <c r="E7860" s="4" t="s">
        <v>1998</v>
      </c>
    </row>
    <row r="7861" spans="1:5" x14ac:dyDescent="0.2">
      <c r="A7861">
        <v>7800</v>
      </c>
      <c r="B7861" s="1832">
        <f>'PCTC-OEPP 27-28'!F129</f>
        <v>76512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6698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2811</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522475</v>
      </c>
      <c r="D7877" s="2" t="str">
        <f t="shared" si="129"/>
        <v>Error?</v>
      </c>
      <c r="E7877" s="4" t="s">
        <v>1998</v>
      </c>
    </row>
    <row r="7878" spans="1:5" x14ac:dyDescent="0.2">
      <c r="A7878">
        <v>7817</v>
      </c>
      <c r="B7878" s="1832">
        <f>'PCTC-OEPP 27-28'!F176</f>
        <v>3014810</v>
      </c>
      <c r="D7878" s="2" t="str">
        <f t="shared" si="129"/>
        <v>Error?</v>
      </c>
      <c r="E7878" s="4" t="s">
        <v>1998</v>
      </c>
    </row>
    <row r="7879" spans="1:5" x14ac:dyDescent="0.2">
      <c r="A7879">
        <v>7818</v>
      </c>
      <c r="B7879" s="1832">
        <f>'PCTC-OEPP 27-28'!F178</f>
        <v>3181189</v>
      </c>
      <c r="D7879" s="2" t="str">
        <f t="shared" si="129"/>
        <v>Error?</v>
      </c>
      <c r="E7879" s="4" t="s">
        <v>1998</v>
      </c>
    </row>
    <row r="7880" spans="1:5" x14ac:dyDescent="0.2">
      <c r="A7880">
        <v>7819</v>
      </c>
      <c r="B7880" s="1832">
        <f>'PCTC-OEPP 27-28'!F180</f>
        <v>11597.480860371856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Bement CUSD 5</v>
      </c>
      <c r="B7" s="2539"/>
      <c r="C7" s="2539"/>
      <c r="D7" s="2540"/>
      <c r="E7" s="2541">
        <f>COVER!A13</f>
        <v>39074005026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Sheila Greenwood</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201 S CHAMPAIGN ST</v>
      </c>
      <c r="B14" s="2522"/>
      <c r="C14" s="2522"/>
      <c r="D14" s="2522"/>
      <c r="E14" s="2522"/>
      <c r="F14" s="2523"/>
      <c r="G14" s="974" t="s">
        <v>1175</v>
      </c>
      <c r="H14" s="972"/>
      <c r="I14" s="972"/>
      <c r="J14" s="972"/>
      <c r="K14" s="972"/>
      <c r="L14" s="973"/>
    </row>
    <row r="15" spans="1:29" ht="13.5" customHeight="1" x14ac:dyDescent="0.2">
      <c r="A15" s="2521" t="str">
        <f>COVER!A21</f>
        <v>BEMENT</v>
      </c>
      <c r="B15" s="2522"/>
      <c r="C15" s="2522"/>
      <c r="D15" s="2522"/>
      <c r="E15" s="2522"/>
      <c r="F15" s="2523"/>
      <c r="G15" s="2518" t="str">
        <f>COVER!T15</f>
        <v>RUSS LEIGH</v>
      </c>
      <c r="H15" s="2519"/>
      <c r="I15" s="2519"/>
      <c r="J15" s="2519"/>
      <c r="K15" s="2519"/>
      <c r="L15" s="2520"/>
    </row>
    <row r="16" spans="1:29" ht="12.2" customHeight="1" x14ac:dyDescent="0.2">
      <c r="A16" s="2544">
        <f>COVER!A25</f>
        <v>61813</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Bement CUSD 5</v>
      </c>
      <c r="B1" s="2561"/>
      <c r="C1" s="2561"/>
      <c r="D1" s="2561"/>
    </row>
    <row r="2" spans="1:11" s="991" customFormat="1" ht="12.75" x14ac:dyDescent="0.2">
      <c r="A2" s="2562">
        <f>'Single Audit Cover'!E7</f>
        <v>39074005026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Bement CUSD 5</v>
      </c>
      <c r="B1" s="2565"/>
      <c r="C1" s="2565"/>
      <c r="D1" s="2565"/>
      <c r="E1" s="2565"/>
    </row>
    <row r="2" spans="1:5" x14ac:dyDescent="0.2">
      <c r="A2" s="2566">
        <f>'Single Audit Cover'!E7</f>
        <v>39074005026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227854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227854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227854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227854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Bement CUSD 5</v>
      </c>
      <c r="C1" s="2569"/>
      <c r="D1" s="2569"/>
      <c r="E1" s="2569"/>
      <c r="F1" s="2569"/>
      <c r="G1" s="2569"/>
      <c r="H1" s="2569"/>
      <c r="I1" s="2569"/>
      <c r="J1" s="2569"/>
      <c r="K1" s="2569"/>
      <c r="L1" s="2569"/>
      <c r="M1" s="2569"/>
    </row>
    <row r="2" spans="2:14" ht="15" x14ac:dyDescent="0.2">
      <c r="B2" s="2570">
        <f>'Single Audit Cover'!E7</f>
        <v>39074005026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Bement CUSD 5</v>
      </c>
      <c r="B1" s="2582"/>
      <c r="C1" s="2582"/>
      <c r="D1" s="2582"/>
      <c r="E1" s="2582"/>
      <c r="F1" s="2582"/>
    </row>
    <row r="2" spans="1:7" ht="13.5" customHeight="1" x14ac:dyDescent="0.2">
      <c r="A2" s="2570">
        <f>'Single Audit Cover'!E7</f>
        <v>39074005026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Bement CUSD 5</v>
      </c>
      <c r="C1" s="2597"/>
      <c r="D1" s="2597"/>
      <c r="E1" s="2597"/>
      <c r="F1" s="2597"/>
      <c r="G1" s="2597"/>
      <c r="H1" s="2597"/>
      <c r="I1" s="2597"/>
      <c r="J1" s="1178"/>
    </row>
    <row r="2" spans="2:10" s="295" customFormat="1" ht="12.75" customHeight="1" x14ac:dyDescent="0.2">
      <c r="B2" s="2598">
        <f>'Single Audit Cover'!E7</f>
        <v>39074005026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Bement CUSD 5</v>
      </c>
      <c r="C1" s="2596"/>
      <c r="D1" s="2596"/>
      <c r="E1" s="2596"/>
      <c r="F1" s="2596"/>
      <c r="G1" s="2596"/>
      <c r="H1" s="2596"/>
      <c r="I1" s="2596"/>
      <c r="J1" s="2596"/>
      <c r="K1" s="2596"/>
      <c r="L1" s="1144"/>
      <c r="M1" s="1144"/>
    </row>
    <row r="2" spans="1:13" ht="12" customHeight="1" x14ac:dyDescent="0.2">
      <c r="B2" s="2598">
        <f>'Single Audit Cover'!E7</f>
        <v>39074005026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Bement CUSD 5</v>
      </c>
      <c r="C1" s="2619"/>
      <c r="D1" s="2619"/>
      <c r="E1" s="2619"/>
      <c r="F1" s="2619"/>
      <c r="G1" s="2619"/>
      <c r="H1" s="2619"/>
      <c r="I1" s="2619"/>
      <c r="J1" s="2619"/>
      <c r="K1" s="2619"/>
      <c r="L1" s="1221"/>
    </row>
    <row r="2" spans="1:12" ht="12.75" customHeight="1" x14ac:dyDescent="0.2">
      <c r="B2" s="2620">
        <f>'Single Audit Cover'!E7</f>
        <v>39074005026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Bement CUSD 5</v>
      </c>
      <c r="C1" s="2596"/>
      <c r="D1" s="2596"/>
      <c r="E1" s="1240"/>
    </row>
    <row r="2" spans="2:5" s="1058" customFormat="1" ht="12.75" customHeight="1" x14ac:dyDescent="0.2">
      <c r="B2" s="2598">
        <f>'Single Audit Cover'!E7</f>
        <v>39074005026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68652615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3.0800000000000001E-2</v>
      </c>
      <c r="E10" s="333" t="s">
        <v>998</v>
      </c>
      <c r="F10" s="332">
        <v>5.2500000000000003E-3</v>
      </c>
      <c r="G10" s="333" t="s">
        <v>998</v>
      </c>
      <c r="H10" s="332">
        <v>2E-3</v>
      </c>
      <c r="I10" s="333" t="s">
        <v>999</v>
      </c>
      <c r="J10" s="1424">
        <f>ROUND(D10+F10+H10,5)</f>
        <v>3.805E-2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3783691</v>
      </c>
      <c r="E16" s="1547"/>
      <c r="F16" s="1546">
        <f>SUM('Acct Summary 7-8'!C17,'Acct Summary 7-8'!D17,'Acct Summary 7-8'!F17)</f>
        <v>3275602</v>
      </c>
      <c r="G16" s="1547"/>
      <c r="H16" s="1546">
        <f>SUM(D16-F16)</f>
        <v>508089</v>
      </c>
      <c r="I16" s="1548"/>
      <c r="J16" s="1546">
        <f>SUM('Acct Summary 7-8'!C81,'Acct Summary 7-8'!D81,'Acct Summary 7-8'!F81,'Acct Summary 7-8'!I81)</f>
        <v>2380698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9474060.870000001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4037734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Bement CUSD 5</v>
      </c>
      <c r="E7" s="368"/>
      <c r="G7" s="247"/>
      <c r="H7" s="364"/>
      <c r="I7" s="364"/>
      <c r="J7" s="364"/>
      <c r="K7" s="364"/>
      <c r="L7" s="307"/>
      <c r="M7" s="307"/>
      <c r="N7" s="307"/>
      <c r="O7" s="307"/>
      <c r="P7" s="307"/>
    </row>
    <row r="8" spans="1:18" ht="12.75" x14ac:dyDescent="0.2">
      <c r="A8" s="307"/>
      <c r="B8" s="307"/>
      <c r="C8" s="366" t="s">
        <v>1115</v>
      </c>
      <c r="D8" s="369">
        <f>COVER!A13</f>
        <v>39074005026</v>
      </c>
      <c r="E8" s="370"/>
      <c r="G8" s="307"/>
      <c r="H8" s="307"/>
      <c r="I8" s="307"/>
      <c r="J8" s="307"/>
      <c r="K8" s="307"/>
      <c r="L8" s="307"/>
      <c r="M8" s="307"/>
      <c r="N8" s="307"/>
      <c r="O8" s="307"/>
      <c r="P8" s="307"/>
    </row>
    <row r="9" spans="1:18" ht="12.75" x14ac:dyDescent="0.2">
      <c r="A9" s="307"/>
      <c r="B9" s="307"/>
      <c r="C9" s="366" t="s">
        <v>708</v>
      </c>
      <c r="D9" s="371" t="str">
        <f>COVER!A15</f>
        <v>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2380698</v>
      </c>
      <c r="I12" s="380"/>
      <c r="J12" s="380"/>
      <c r="K12" s="1559">
        <f>TRUNC((H12/H13*100000),5)/100000</f>
        <v>0.62919990030000006</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3783691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3275602</v>
      </c>
      <c r="I17" s="380"/>
      <c r="J17" s="389"/>
      <c r="K17" s="1559">
        <f>TRUNC((H17/H18*100000),5)/100000</f>
        <v>0.86571604280000003</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3783691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2380698</v>
      </c>
      <c r="I24" s="394"/>
      <c r="J24" s="394"/>
      <c r="K24" s="1555">
        <f>TRUNC(((H24/H25*100000)/100000),2)</f>
        <v>261.64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9098.89444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2220397.2006399999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4037734</v>
      </c>
      <c r="I32" s="392"/>
      <c r="J32" s="392"/>
      <c r="K32" s="1555">
        <f>TRUNC(100-((((H32/H33*100))*100)/100),2)</f>
        <v>57.38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9474060.870000001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1088095</v>
      </c>
      <c r="D4" s="1573">
        <v>361539</v>
      </c>
      <c r="E4" s="1573">
        <v>14996</v>
      </c>
      <c r="F4" s="1573">
        <v>52048</v>
      </c>
      <c r="G4" s="1573">
        <v>109781</v>
      </c>
      <c r="H4" s="1573">
        <v>115666</v>
      </c>
      <c r="I4" s="1573">
        <v>366516</v>
      </c>
      <c r="J4" s="1574">
        <v>96084</v>
      </c>
      <c r="K4" s="1573">
        <v>79987</v>
      </c>
      <c r="L4" s="1573">
        <v>76452</v>
      </c>
      <c r="M4" s="1575"/>
      <c r="N4" s="1576"/>
    </row>
    <row r="5" spans="1:14" x14ac:dyDescent="0.2">
      <c r="A5" s="427" t="s">
        <v>985</v>
      </c>
      <c r="B5" s="429">
        <v>120</v>
      </c>
      <c r="C5" s="1572"/>
      <c r="D5" s="1573"/>
      <c r="E5" s="1573"/>
      <c r="F5" s="1573"/>
      <c r="G5" s="1573"/>
      <c r="H5" s="1573"/>
      <c r="I5" s="1573">
        <v>512500</v>
      </c>
      <c r="J5" s="1574"/>
      <c r="K5" s="1577"/>
      <c r="L5" s="1578">
        <v>11800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1088095</v>
      </c>
      <c r="D13" s="1587">
        <f t="shared" ref="D13:L13" si="0">SUM(D4:D12)</f>
        <v>361539</v>
      </c>
      <c r="E13" s="1587">
        <f t="shared" si="0"/>
        <v>14996</v>
      </c>
      <c r="F13" s="1587">
        <f t="shared" si="0"/>
        <v>52048</v>
      </c>
      <c r="G13" s="1587">
        <f t="shared" si="0"/>
        <v>109781</v>
      </c>
      <c r="H13" s="1587">
        <f t="shared" si="0"/>
        <v>115666</v>
      </c>
      <c r="I13" s="1587">
        <f t="shared" si="0"/>
        <v>879016</v>
      </c>
      <c r="J13" s="1587">
        <f t="shared" si="0"/>
        <v>96084</v>
      </c>
      <c r="K13" s="1587">
        <f t="shared" si="0"/>
        <v>79987</v>
      </c>
      <c r="L13" s="1587">
        <f t="shared" si="0"/>
        <v>88252</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17419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3915790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1704361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1427322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14996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4022738</v>
      </c>
    </row>
    <row r="23" spans="1:14" ht="13.5" customHeight="1" thickBot="1" x14ac:dyDescent="0.25">
      <c r="A23" s="1426" t="s">
        <v>638</v>
      </c>
      <c r="B23" s="1429"/>
      <c r="C23" s="1575"/>
      <c r="D23" s="1575"/>
      <c r="E23" s="1575"/>
      <c r="F23" s="1575"/>
      <c r="G23" s="1575"/>
      <c r="H23" s="1575"/>
      <c r="I23" s="1575"/>
      <c r="J23" s="1575"/>
      <c r="K23" s="1575"/>
      <c r="L23" s="1575"/>
      <c r="M23" s="1594">
        <f>SUM(M15:M22)</f>
        <v>7064892</v>
      </c>
      <c r="N23" s="1594">
        <f>SUM(N21:N22)</f>
        <v>4037734</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88252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88252</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4037734</v>
      </c>
    </row>
    <row r="37" spans="1:14" ht="13.5" thickBot="1" x14ac:dyDescent="0.25">
      <c r="A37" s="1426" t="s">
        <v>648</v>
      </c>
      <c r="B37" s="1429"/>
      <c r="C37" s="1582"/>
      <c r="D37" s="1582"/>
      <c r="E37" s="1582"/>
      <c r="F37" s="1582"/>
      <c r="G37" s="1582"/>
      <c r="H37" s="1582"/>
      <c r="I37" s="1582"/>
      <c r="J37" s="1582"/>
      <c r="K37" s="1582"/>
      <c r="L37" s="1585"/>
      <c r="M37" s="1575"/>
      <c r="N37" s="1594">
        <f>SUM(N36:N36)</f>
        <v>4037734</v>
      </c>
    </row>
    <row r="38" spans="1:14" s="307" customFormat="1" ht="13.5" customHeight="1" thickTop="1" x14ac:dyDescent="0.2">
      <c r="A38" s="438" t="s">
        <v>417</v>
      </c>
      <c r="B38" s="432">
        <v>714</v>
      </c>
      <c r="C38" s="1573">
        <v>7533</v>
      </c>
      <c r="D38" s="1573"/>
      <c r="E38" s="1573"/>
      <c r="F38" s="1573"/>
      <c r="G38" s="1573">
        <v>109781</v>
      </c>
      <c r="H38" s="1573">
        <v>104309</v>
      </c>
      <c r="I38" s="1573"/>
      <c r="J38" s="1574"/>
      <c r="K38" s="1573"/>
      <c r="L38" s="1586"/>
      <c r="M38" s="1604"/>
      <c r="N38" s="1604"/>
    </row>
    <row r="39" spans="1:14" s="307" customFormat="1" ht="13.5" customHeight="1" x14ac:dyDescent="0.2">
      <c r="A39" s="438" t="s">
        <v>339</v>
      </c>
      <c r="B39" s="432">
        <v>730</v>
      </c>
      <c r="C39" s="1573">
        <v>1080562</v>
      </c>
      <c r="D39" s="1573">
        <v>361539</v>
      </c>
      <c r="E39" s="1573">
        <v>14996</v>
      </c>
      <c r="F39" s="1573">
        <v>52048</v>
      </c>
      <c r="G39" s="1573"/>
      <c r="H39" s="1573">
        <v>11357</v>
      </c>
      <c r="I39" s="1573">
        <v>879016</v>
      </c>
      <c r="J39" s="1574">
        <v>96084</v>
      </c>
      <c r="K39" s="1573">
        <v>79987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7064892</v>
      </c>
      <c r="N40" s="1604"/>
    </row>
    <row r="41" spans="1:14" ht="13.5" customHeight="1" thickBot="1" x14ac:dyDescent="0.25">
      <c r="A41" s="1426" t="s">
        <v>650</v>
      </c>
      <c r="B41" s="1405"/>
      <c r="C41" s="1594">
        <f>(SUM(C34,C37,C38,C39))</f>
        <v>1088095</v>
      </c>
      <c r="D41" s="1594">
        <f t="shared" ref="D41:L41" si="2">SUM(D34,D37,D38:D39)</f>
        <v>361539</v>
      </c>
      <c r="E41" s="1594">
        <f t="shared" si="2"/>
        <v>14996</v>
      </c>
      <c r="F41" s="1594">
        <f t="shared" si="2"/>
        <v>52048</v>
      </c>
      <c r="G41" s="1594">
        <f t="shared" si="2"/>
        <v>109781</v>
      </c>
      <c r="H41" s="1594">
        <f t="shared" si="2"/>
        <v>115666</v>
      </c>
      <c r="I41" s="1594">
        <f t="shared" si="2"/>
        <v>879016</v>
      </c>
      <c r="J41" s="1594">
        <f t="shared" si="2"/>
        <v>96084</v>
      </c>
      <c r="K41" s="1594">
        <f t="shared" si="2"/>
        <v>79987</v>
      </c>
      <c r="L41" s="1594">
        <f t="shared" si="2"/>
        <v>88252</v>
      </c>
      <c r="M41" s="1594">
        <f>SUM(M40)</f>
        <v>7064892</v>
      </c>
      <c r="N41" s="1594">
        <f>SUM(N37)</f>
        <v>4037734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2243423</v>
      </c>
      <c r="D4" s="1606">
        <f>'Revenues 9-14'!D109</f>
        <v>467509</v>
      </c>
      <c r="E4" s="1606">
        <f>'Revenues 9-14'!E109</f>
        <v>380352</v>
      </c>
      <c r="F4" s="1606">
        <f>'Revenues 9-14'!F109</f>
        <v>130693</v>
      </c>
      <c r="G4" s="1606">
        <f>'Revenues 9-14'!G109</f>
        <v>41145</v>
      </c>
      <c r="H4" s="1606">
        <f>'Revenues 9-14'!H109</f>
        <v>90960</v>
      </c>
      <c r="I4" s="1606">
        <f>'Revenues 9-14'!I109</f>
        <v>45174</v>
      </c>
      <c r="J4" s="1606">
        <f>'Revenues 9-14'!J109</f>
        <v>246570</v>
      </c>
      <c r="K4" s="1606">
        <f>'Revenues 9-14'!K109</f>
        <v>32674</v>
      </c>
      <c r="L4" s="325"/>
    </row>
    <row r="5" spans="1:13" ht="15.75" customHeight="1" x14ac:dyDescent="0.2">
      <c r="A5" s="1314" t="s">
        <v>1483</v>
      </c>
      <c r="B5" s="1315">
        <v>2000</v>
      </c>
      <c r="C5" s="1607">
        <f>'Revenues 9-14'!C114</f>
        <v>11016</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535145</v>
      </c>
      <c r="D6" s="1607">
        <f>'Revenues 9-14'!D170</f>
        <v>0</v>
      </c>
      <c r="E6" s="1607">
        <f>'Revenues 9-14'!E170</f>
        <v>0</v>
      </c>
      <c r="F6" s="1607">
        <f>'Revenues 9-14'!F170</f>
        <v>122877</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227854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3017438</v>
      </c>
      <c r="D8" s="1594">
        <f t="shared" ref="D8:K8" si="0">SUM(D4:D7)</f>
        <v>467509</v>
      </c>
      <c r="E8" s="1594">
        <f t="shared" si="0"/>
        <v>380352</v>
      </c>
      <c r="F8" s="1594">
        <f t="shared" si="0"/>
        <v>253570</v>
      </c>
      <c r="G8" s="1594">
        <f t="shared" si="0"/>
        <v>41145</v>
      </c>
      <c r="H8" s="1594">
        <f t="shared" si="0"/>
        <v>140960</v>
      </c>
      <c r="I8" s="1594">
        <f t="shared" si="0"/>
        <v>45174</v>
      </c>
      <c r="J8" s="1594">
        <f t="shared" si="0"/>
        <v>246570</v>
      </c>
      <c r="K8" s="1594">
        <f t="shared" si="0"/>
        <v>32674</v>
      </c>
      <c r="L8" s="325"/>
    </row>
    <row r="9" spans="1:13" ht="15.75" thickTop="1" x14ac:dyDescent="0.2">
      <c r="A9" s="449" t="s">
        <v>1634</v>
      </c>
      <c r="B9" s="450">
        <v>3998</v>
      </c>
      <c r="C9" s="1586">
        <v>1405635</v>
      </c>
      <c r="D9" s="1613"/>
      <c r="E9" s="1586"/>
      <c r="F9" s="1586"/>
      <c r="G9" s="1614"/>
      <c r="H9" s="1586"/>
      <c r="I9" s="1609" t="s">
        <v>1159</v>
      </c>
      <c r="J9" s="1583"/>
      <c r="K9" s="1586"/>
      <c r="L9" s="325"/>
    </row>
    <row r="10" spans="1:13" s="452" customFormat="1" ht="13.5" thickBot="1" x14ac:dyDescent="0.25">
      <c r="A10" s="1426" t="s">
        <v>1163</v>
      </c>
      <c r="B10" s="1407"/>
      <c r="C10" s="1594">
        <f>SUM(C8:C9)</f>
        <v>4423073</v>
      </c>
      <c r="D10" s="1594">
        <f t="shared" ref="D10:K10" si="1">SUM(D8:D9)</f>
        <v>467509</v>
      </c>
      <c r="E10" s="1594">
        <f t="shared" si="1"/>
        <v>380352</v>
      </c>
      <c r="F10" s="1594">
        <f t="shared" si="1"/>
        <v>253570</v>
      </c>
      <c r="G10" s="1594">
        <f t="shared" si="1"/>
        <v>41145</v>
      </c>
      <c r="H10" s="1594">
        <f t="shared" si="1"/>
        <v>140960</v>
      </c>
      <c r="I10" s="1594">
        <f t="shared" si="1"/>
        <v>45174</v>
      </c>
      <c r="J10" s="1594">
        <f t="shared" si="1"/>
        <v>246570</v>
      </c>
      <c r="K10" s="1594">
        <f t="shared" si="1"/>
        <v>32674</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1801157</v>
      </c>
      <c r="D12" s="1616" t="s">
        <v>1159</v>
      </c>
      <c r="E12" s="1575" t="s">
        <v>1159</v>
      </c>
      <c r="F12" s="1575" t="s">
        <v>1159</v>
      </c>
      <c r="G12" s="1606">
        <f>'Expenditures 15-22'!K229</f>
        <v>29432</v>
      </c>
      <c r="H12" s="1617"/>
      <c r="I12" s="1575" t="s">
        <v>1159</v>
      </c>
      <c r="J12" s="1575" t="s">
        <v>1159</v>
      </c>
      <c r="K12" s="1617" t="s">
        <v>1159</v>
      </c>
      <c r="L12" s="325"/>
    </row>
    <row r="13" spans="1:13" ht="15.75" customHeight="1" x14ac:dyDescent="0.2">
      <c r="A13" s="1314" t="s">
        <v>454</v>
      </c>
      <c r="B13" s="1316">
        <v>2000</v>
      </c>
      <c r="C13" s="1607">
        <f>'Expenditures 15-22'!K74</f>
        <v>805130</v>
      </c>
      <c r="D13" s="1607">
        <f>'Expenditures 15-22'!K129</f>
        <v>310233</v>
      </c>
      <c r="E13" s="1576" t="s">
        <v>1159</v>
      </c>
      <c r="F13" s="1607">
        <f>'Expenditures 15-22'!K184</f>
        <v>280305</v>
      </c>
      <c r="G13" s="1607">
        <f>'Expenditures 15-22'!K279</f>
        <v>43755</v>
      </c>
      <c r="H13" s="1607">
        <f>'Expenditures 15-22'!K303</f>
        <v>73524</v>
      </c>
      <c r="I13" s="1575" t="s">
        <v>1159</v>
      </c>
      <c r="J13" s="1607">
        <f>'Expenditures 15-22'!K330</f>
        <v>249396</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78777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369236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2685064</v>
      </c>
      <c r="D17" s="1594">
        <f t="shared" si="2"/>
        <v>310233</v>
      </c>
      <c r="E17" s="1594">
        <f t="shared" si="2"/>
        <v>369236</v>
      </c>
      <c r="F17" s="1594">
        <f t="shared" si="2"/>
        <v>280305</v>
      </c>
      <c r="G17" s="1594">
        <f t="shared" si="2"/>
        <v>73187</v>
      </c>
      <c r="H17" s="1594">
        <f t="shared" si="2"/>
        <v>73524</v>
      </c>
      <c r="I17" s="1575"/>
      <c r="J17" s="1594">
        <f>SUM(J12:J16)</f>
        <v>249396</v>
      </c>
      <c r="K17" s="1594">
        <f>SUM(K12:K16)</f>
        <v>0</v>
      </c>
      <c r="L17" s="325"/>
    </row>
    <row r="18" spans="1:12" ht="15" customHeight="1" thickTop="1" x14ac:dyDescent="0.2">
      <c r="A18" s="1430" t="s">
        <v>1635</v>
      </c>
      <c r="B18" s="1431">
        <v>4180</v>
      </c>
      <c r="C18" s="1606">
        <f t="shared" ref="C18:H18" si="3">C9</f>
        <v>1405635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4090699</v>
      </c>
      <c r="D19" s="1594">
        <f t="shared" si="4"/>
        <v>310233</v>
      </c>
      <c r="E19" s="1594">
        <f t="shared" si="4"/>
        <v>369236</v>
      </c>
      <c r="F19" s="1594">
        <f t="shared" si="4"/>
        <v>280305</v>
      </c>
      <c r="G19" s="1594">
        <f t="shared" si="4"/>
        <v>73187</v>
      </c>
      <c r="H19" s="1594">
        <f t="shared" si="4"/>
        <v>73524</v>
      </c>
      <c r="I19" s="1575"/>
      <c r="J19" s="1594">
        <f>SUM(J17:J18)</f>
        <v>249396</v>
      </c>
      <c r="K19" s="1594">
        <f>SUM(K17:K18)</f>
        <v>0</v>
      </c>
      <c r="L19" s="325"/>
    </row>
    <row r="20" spans="1:12" ht="16.5" thickTop="1" thickBot="1" x14ac:dyDescent="0.25">
      <c r="A20" s="2234" t="s">
        <v>1636</v>
      </c>
      <c r="B20" s="2235"/>
      <c r="C20" s="1622">
        <f>C8-C17</f>
        <v>332374</v>
      </c>
      <c r="D20" s="1622">
        <f t="shared" ref="D20:K20" si="5">D8-D17</f>
        <v>157276</v>
      </c>
      <c r="E20" s="1622">
        <f t="shared" si="5"/>
        <v>11116</v>
      </c>
      <c r="F20" s="1622">
        <f t="shared" si="5"/>
        <v>-26735</v>
      </c>
      <c r="G20" s="1622">
        <f t="shared" si="5"/>
        <v>-32042</v>
      </c>
      <c r="H20" s="1622">
        <f t="shared" si="5"/>
        <v>67436</v>
      </c>
      <c r="I20" s="1622">
        <f t="shared" si="5"/>
        <v>45174</v>
      </c>
      <c r="J20" s="1622">
        <f t="shared" si="5"/>
        <v>-2826</v>
      </c>
      <c r="K20" s="1622">
        <f t="shared" si="5"/>
        <v>32674</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v>15000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v>650000</v>
      </c>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650000</v>
      </c>
      <c r="F44" s="1624">
        <f t="shared" si="6"/>
        <v>15000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650000</v>
      </c>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650000</v>
      </c>
      <c r="F76" s="1624">
        <f t="shared" si="7"/>
        <v>0</v>
      </c>
      <c r="G76" s="1624">
        <f t="shared" si="7"/>
        <v>0</v>
      </c>
      <c r="H76" s="1624">
        <f t="shared" si="7"/>
        <v>0</v>
      </c>
      <c r="I76" s="1624">
        <f t="shared" si="7"/>
        <v>15000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15000</v>
      </c>
      <c r="G77" s="1624">
        <f t="shared" si="8"/>
        <v>0</v>
      </c>
      <c r="H77" s="1624">
        <f t="shared" si="8"/>
        <v>0</v>
      </c>
      <c r="I77" s="1624">
        <f t="shared" si="8"/>
        <v>-15000</v>
      </c>
      <c r="J77" s="1624">
        <f t="shared" si="8"/>
        <v>0</v>
      </c>
      <c r="K77" s="1624">
        <f t="shared" si="8"/>
        <v>0</v>
      </c>
      <c r="L77" s="325"/>
    </row>
    <row r="78" spans="1:12" ht="21.75" customHeight="1" thickTop="1" thickBot="1" x14ac:dyDescent="0.25">
      <c r="A78" s="2230" t="s">
        <v>593</v>
      </c>
      <c r="B78" s="2231"/>
      <c r="C78" s="1629">
        <f t="shared" ref="C78:K78" si="9">C20+C77</f>
        <v>332374</v>
      </c>
      <c r="D78" s="1629">
        <f t="shared" si="9"/>
        <v>157276</v>
      </c>
      <c r="E78" s="1629">
        <f t="shared" si="9"/>
        <v>11116</v>
      </c>
      <c r="F78" s="1629">
        <f t="shared" si="9"/>
        <v>-11735</v>
      </c>
      <c r="G78" s="1629">
        <f t="shared" si="9"/>
        <v>-32042</v>
      </c>
      <c r="H78" s="1629">
        <f t="shared" si="9"/>
        <v>67436</v>
      </c>
      <c r="I78" s="1629">
        <f t="shared" si="9"/>
        <v>30174</v>
      </c>
      <c r="J78" s="1629">
        <f t="shared" si="9"/>
        <v>-2826</v>
      </c>
      <c r="K78" s="1629">
        <f t="shared" si="9"/>
        <v>32674</v>
      </c>
      <c r="L78" s="457"/>
    </row>
    <row r="79" spans="1:12" ht="13.5" thickTop="1" x14ac:dyDescent="0.2">
      <c r="A79" s="1844" t="str">
        <f>"Fund Balances - July 1, "&amp;'AFR20'!E2-1</f>
        <v>Fund Balances - July 1, 2019</v>
      </c>
      <c r="B79" s="458"/>
      <c r="C79" s="1583">
        <v>755721</v>
      </c>
      <c r="D79" s="1630">
        <v>204263</v>
      </c>
      <c r="E79" s="1630">
        <v>3880</v>
      </c>
      <c r="F79" s="1630">
        <v>63783</v>
      </c>
      <c r="G79" s="1630">
        <v>141823</v>
      </c>
      <c r="H79" s="1630">
        <v>48230</v>
      </c>
      <c r="I79" s="1630">
        <v>848842</v>
      </c>
      <c r="J79" s="1630">
        <v>98910</v>
      </c>
      <c r="K79" s="1630">
        <v>47313</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1088095</v>
      </c>
      <c r="D81" s="1594">
        <f>SUM(D78:D80)</f>
        <v>361539</v>
      </c>
      <c r="E81" s="1594">
        <f t="shared" ref="E81:K81" si="10">SUM(E78:E80)</f>
        <v>14996</v>
      </c>
      <c r="F81" s="1594">
        <f t="shared" si="10"/>
        <v>52048</v>
      </c>
      <c r="G81" s="1594">
        <f t="shared" si="10"/>
        <v>109781</v>
      </c>
      <c r="H81" s="1594">
        <f t="shared" si="10"/>
        <v>115666</v>
      </c>
      <c r="I81" s="1594">
        <f t="shared" si="10"/>
        <v>879016</v>
      </c>
      <c r="J81" s="1594">
        <f t="shared" si="10"/>
        <v>96084</v>
      </c>
      <c r="K81" s="1594">
        <f t="shared" si="10"/>
        <v>79987</v>
      </c>
      <c r="L81" s="325"/>
    </row>
    <row r="82" spans="1:12" ht="0.75" customHeight="1" thickTop="1" thickBot="1" x14ac:dyDescent="0.25">
      <c r="A82" s="459" t="s">
        <v>340</v>
      </c>
      <c r="B82" s="460"/>
      <c r="C82" s="461">
        <f>(C81-C79)</f>
        <v>332374</v>
      </c>
      <c r="D82" s="461">
        <f t="shared" ref="D82:K82" si="11">(D81-D79)</f>
        <v>157276</v>
      </c>
      <c r="E82" s="461">
        <f t="shared" si="11"/>
        <v>11116</v>
      </c>
      <c r="F82" s="461">
        <f t="shared" si="11"/>
        <v>-11735</v>
      </c>
      <c r="G82" s="461">
        <f t="shared" si="11"/>
        <v>-32042</v>
      </c>
      <c r="H82" s="461">
        <f t="shared" si="11"/>
        <v>67436</v>
      </c>
      <c r="I82" s="461">
        <f t="shared" si="11"/>
        <v>30174</v>
      </c>
      <c r="J82" s="461">
        <f t="shared" si="11"/>
        <v>-2826</v>
      </c>
      <c r="K82" s="461">
        <f t="shared" si="11"/>
        <v>32674</v>
      </c>
    </row>
    <row r="83" spans="1:12" ht="14.25" hidden="1" thickTop="1" thickBot="1" x14ac:dyDescent="0.25">
      <c r="A83" s="462" t="s">
        <v>341</v>
      </c>
      <c r="B83" s="428"/>
      <c r="C83" s="463">
        <f>C82/C81</f>
        <v>0.30546413686304963</v>
      </c>
      <c r="D83" s="463">
        <f t="shared" ref="D83:K83" si="12">D82/D81</f>
        <v>0.43501807550499394</v>
      </c>
      <c r="E83" s="463">
        <f t="shared" si="12"/>
        <v>0.74126433715657514</v>
      </c>
      <c r="F83" s="463">
        <f t="shared" si="12"/>
        <v>-0.22546495542576084</v>
      </c>
      <c r="G83" s="463">
        <f t="shared" si="12"/>
        <v>-0.29187199970851058</v>
      </c>
      <c r="H83" s="463">
        <f t="shared" si="12"/>
        <v>0.58302353327684886</v>
      </c>
      <c r="I83" s="463">
        <f t="shared" si="12"/>
        <v>3.4327020213511472E-2</v>
      </c>
      <c r="J83" s="463">
        <f t="shared" si="12"/>
        <v>-2.9411764705882353E-2</v>
      </c>
      <c r="K83" s="463">
        <f t="shared" si="12"/>
        <v>0.40849137984922551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2012672</v>
      </c>
      <c r="D5" s="1586">
        <v>343067</v>
      </c>
      <c r="E5" s="1573">
        <v>377331</v>
      </c>
      <c r="F5" s="1631">
        <v>130693</v>
      </c>
      <c r="G5" s="1573">
        <v>19552</v>
      </c>
      <c r="H5" s="1573"/>
      <c r="I5" s="1573">
        <v>32674</v>
      </c>
      <c r="J5" s="1574">
        <v>246141</v>
      </c>
      <c r="K5" s="1573">
        <v>32674</v>
      </c>
    </row>
    <row r="6" spans="1:12" ht="15" x14ac:dyDescent="0.2">
      <c r="A6" s="427" t="s">
        <v>1643</v>
      </c>
      <c r="B6" s="429">
        <v>1130</v>
      </c>
      <c r="C6" s="1573">
        <v>32674</v>
      </c>
      <c r="D6" s="1573"/>
      <c r="E6" s="1580"/>
      <c r="F6" s="1580"/>
      <c r="G6" s="1575"/>
      <c r="H6" s="1575"/>
      <c r="I6" s="1575"/>
      <c r="J6" s="1575"/>
      <c r="K6" s="1575"/>
    </row>
    <row r="7" spans="1:12" x14ac:dyDescent="0.2">
      <c r="A7" s="427" t="s">
        <v>110</v>
      </c>
      <c r="B7" s="471">
        <v>1140</v>
      </c>
      <c r="C7" s="1573">
        <v>26138</v>
      </c>
      <c r="D7" s="1573"/>
      <c r="E7" s="1575"/>
      <c r="F7" s="1574"/>
      <c r="G7" s="1574"/>
      <c r="H7" s="1574"/>
      <c r="I7" s="1575"/>
      <c r="J7" s="1575"/>
      <c r="K7" s="1575"/>
    </row>
    <row r="8" spans="1:12" x14ac:dyDescent="0.2">
      <c r="A8" s="427" t="s">
        <v>410</v>
      </c>
      <c r="B8" s="429">
        <v>1150</v>
      </c>
      <c r="C8" s="1580"/>
      <c r="D8" s="1580"/>
      <c r="E8" s="1582"/>
      <c r="F8" s="1582"/>
      <c r="G8" s="1586">
        <v>19552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2071484</v>
      </c>
      <c r="D12" s="1633">
        <f t="shared" si="0"/>
        <v>343067</v>
      </c>
      <c r="E12" s="1633">
        <f t="shared" si="0"/>
        <v>377331</v>
      </c>
      <c r="F12" s="1633">
        <f t="shared" si="0"/>
        <v>130693</v>
      </c>
      <c r="G12" s="1633">
        <f t="shared" si="0"/>
        <v>39104</v>
      </c>
      <c r="H12" s="1633">
        <f t="shared" si="0"/>
        <v>0</v>
      </c>
      <c r="I12" s="1633">
        <f t="shared" si="0"/>
        <v>32674</v>
      </c>
      <c r="J12" s="1633">
        <f t="shared" si="0"/>
        <v>246141</v>
      </c>
      <c r="K12" s="1594">
        <f t="shared" si="0"/>
        <v>32674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297</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80723</v>
      </c>
      <c r="D16" s="1573"/>
      <c r="E16" s="1573"/>
      <c r="F16" s="1573"/>
      <c r="G16" s="1573">
        <v>2041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81020</v>
      </c>
      <c r="D18" s="1635">
        <f t="shared" ref="D18:K18" si="1">SUM(D14:D17)</f>
        <v>0</v>
      </c>
      <c r="E18" s="1635">
        <f t="shared" si="1"/>
        <v>0</v>
      </c>
      <c r="F18" s="1635">
        <f t="shared" si="1"/>
        <v>0</v>
      </c>
      <c r="G18" s="1635">
        <f t="shared" si="1"/>
        <v>2041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3076</v>
      </c>
      <c r="D65" s="1573"/>
      <c r="E65" s="1573"/>
      <c r="F65" s="1574"/>
      <c r="G65" s="1573"/>
      <c r="H65" s="1573"/>
      <c r="I65" s="1573">
        <v>12500</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3076</v>
      </c>
      <c r="D67" s="1594">
        <f t="shared" ref="D67:K67" si="2">SUM(D65:D66)</f>
        <v>0</v>
      </c>
      <c r="E67" s="1594">
        <f t="shared" si="2"/>
        <v>0</v>
      </c>
      <c r="F67" s="1594">
        <f t="shared" si="2"/>
        <v>0</v>
      </c>
      <c r="G67" s="1594">
        <f t="shared" si="2"/>
        <v>0</v>
      </c>
      <c r="H67" s="1594">
        <f t="shared" si="2"/>
        <v>0</v>
      </c>
      <c r="I67" s="1594">
        <f t="shared" si="2"/>
        <v>12500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19743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94</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534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20371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11194</v>
      </c>
      <c r="D77" s="1573"/>
      <c r="E77" s="1575"/>
      <c r="F77" s="1575"/>
      <c r="G77" s="1575"/>
      <c r="H77" s="1575"/>
      <c r="I77" s="1575"/>
      <c r="J77" s="1575"/>
      <c r="K77" s="1575"/>
    </row>
    <row r="78" spans="1:11" ht="12.75" customHeight="1" x14ac:dyDescent="0.2">
      <c r="A78" s="427" t="s">
        <v>76</v>
      </c>
      <c r="B78" s="429">
        <v>1719</v>
      </c>
      <c r="C78" s="1632">
        <v>6502</v>
      </c>
      <c r="D78" s="1573"/>
      <c r="E78" s="1575"/>
      <c r="F78" s="1575"/>
      <c r="G78" s="1575"/>
      <c r="H78" s="1575"/>
      <c r="I78" s="1575"/>
      <c r="J78" s="1575"/>
      <c r="K78" s="1575"/>
    </row>
    <row r="79" spans="1:11" ht="12.75" customHeight="1" x14ac:dyDescent="0.2">
      <c r="A79" s="427" t="s">
        <v>546</v>
      </c>
      <c r="B79" s="429">
        <v>1720</v>
      </c>
      <c r="C79" s="1632">
        <v>12530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30226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8500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8500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120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21092</v>
      </c>
      <c r="D98" s="1573"/>
      <c r="E98" s="1612"/>
      <c r="F98" s="1573"/>
      <c r="G98" s="1612"/>
      <c r="H98" s="1612"/>
      <c r="I98" s="1610"/>
      <c r="J98" s="1612"/>
      <c r="K98" s="1612"/>
    </row>
    <row r="99" spans="1:12" ht="12.75" customHeight="1" x14ac:dyDescent="0.2">
      <c r="A99" s="427" t="s">
        <v>816</v>
      </c>
      <c r="B99" s="429">
        <v>1950</v>
      </c>
      <c r="C99" s="1598"/>
      <c r="D99" s="1573"/>
      <c r="E99" s="1573">
        <v>3021</v>
      </c>
      <c r="F99" s="1573"/>
      <c r="G99" s="1573"/>
      <c r="H99" s="1573"/>
      <c r="I99" s="1575"/>
      <c r="J99" s="1574">
        <v>429</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4090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90960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3564</v>
      </c>
      <c r="D107" s="1573">
        <v>124322</v>
      </c>
      <c r="E107" s="1573"/>
      <c r="F107" s="1573"/>
      <c r="G107" s="1573"/>
      <c r="H107" s="1573"/>
      <c r="I107" s="1573"/>
      <c r="J107" s="1574"/>
      <c r="K107" s="1573"/>
    </row>
    <row r="108" spans="1:12" ht="12.75" customHeight="1" thickBot="1" x14ac:dyDescent="0.25">
      <c r="A108" s="1406" t="s">
        <v>484</v>
      </c>
      <c r="B108" s="1408"/>
      <c r="C108" s="1633">
        <f>SUM(C95:C107)</f>
        <v>28746</v>
      </c>
      <c r="D108" s="1633">
        <f t="shared" ref="D108:K108" si="3">SUM(D95:D107)</f>
        <v>124442</v>
      </c>
      <c r="E108" s="1633">
        <f t="shared" si="3"/>
        <v>3021</v>
      </c>
      <c r="F108" s="1633">
        <f t="shared" si="3"/>
        <v>0</v>
      </c>
      <c r="G108" s="1633">
        <f t="shared" si="3"/>
        <v>0</v>
      </c>
      <c r="H108" s="1633">
        <f t="shared" si="3"/>
        <v>90960</v>
      </c>
      <c r="I108" s="1633">
        <f t="shared" si="3"/>
        <v>0</v>
      </c>
      <c r="J108" s="1633">
        <f t="shared" si="3"/>
        <v>429</v>
      </c>
      <c r="K108" s="1594">
        <f t="shared" si="3"/>
        <v>0</v>
      </c>
    </row>
    <row r="109" spans="1:12" ht="14.25" thickTop="1" thickBot="1" x14ac:dyDescent="0.25">
      <c r="A109" s="1409" t="s">
        <v>246</v>
      </c>
      <c r="B109" s="1410" t="s">
        <v>566</v>
      </c>
      <c r="C109" s="1641">
        <f t="shared" ref="C109:K109" si="4">SUM(C12,C18,C40,C63,C67,C75,C82,C93,C108,)</f>
        <v>2243423</v>
      </c>
      <c r="D109" s="1641">
        <f t="shared" si="4"/>
        <v>467509</v>
      </c>
      <c r="E109" s="1641">
        <f t="shared" si="4"/>
        <v>380352</v>
      </c>
      <c r="F109" s="1641">
        <f t="shared" si="4"/>
        <v>130693</v>
      </c>
      <c r="G109" s="1641">
        <f t="shared" si="4"/>
        <v>41145</v>
      </c>
      <c r="H109" s="1641">
        <f t="shared" si="4"/>
        <v>90960</v>
      </c>
      <c r="I109" s="1641">
        <f t="shared" si="4"/>
        <v>45174</v>
      </c>
      <c r="J109" s="1641">
        <f t="shared" si="4"/>
        <v>246570</v>
      </c>
      <c r="K109" s="1629">
        <f t="shared" si="4"/>
        <v>32674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11016</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11016</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432026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432026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v>2144</v>
      </c>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2144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5949</v>
      </c>
      <c r="D140" s="1573"/>
      <c r="E140" s="1640"/>
      <c r="F140" s="1582"/>
      <c r="G140" s="1574"/>
      <c r="H140" s="1575"/>
      <c r="I140" s="1575"/>
      <c r="J140" s="1575"/>
      <c r="K140" s="1575"/>
    </row>
    <row r="141" spans="1:11" ht="12.75" customHeight="1" thickBot="1" x14ac:dyDescent="0.25">
      <c r="A141" s="1406" t="s">
        <v>599</v>
      </c>
      <c r="B141" s="1414"/>
      <c r="C141" s="1633">
        <f>SUM(C134:C140)</f>
        <v>5949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615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3161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41110</v>
      </c>
      <c r="G152" s="1574"/>
      <c r="H152" s="1575"/>
      <c r="I152" s="1575"/>
      <c r="J152" s="1575"/>
      <c r="K152" s="1575"/>
    </row>
    <row r="153" spans="1:11" ht="12.75" customHeight="1" x14ac:dyDescent="0.2">
      <c r="A153" s="427" t="s">
        <v>1048</v>
      </c>
      <c r="B153" s="478">
        <v>3510</v>
      </c>
      <c r="C153" s="1632"/>
      <c r="D153" s="1573"/>
      <c r="E153" s="1640"/>
      <c r="F153" s="1573">
        <v>81767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122877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90500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103119</v>
      </c>
      <c r="D169" s="1658">
        <f t="shared" si="6"/>
        <v>0</v>
      </c>
      <c r="E169" s="1658">
        <f t="shared" si="6"/>
        <v>0</v>
      </c>
      <c r="F169" s="1658">
        <f t="shared" si="6"/>
        <v>122877</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535145</v>
      </c>
      <c r="D170" s="1641">
        <f t="shared" si="7"/>
        <v>0</v>
      </c>
      <c r="E170" s="1641">
        <f t="shared" si="7"/>
        <v>0</v>
      </c>
      <c r="F170" s="1641">
        <f t="shared" si="7"/>
        <v>122877</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21504</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21504</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34142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10941</v>
      </c>
      <c r="D193" s="1575"/>
      <c r="E193" s="1640"/>
      <c r="F193" s="1575"/>
      <c r="G193" s="1664"/>
      <c r="H193" s="1575"/>
      <c r="I193" s="1575"/>
      <c r="J193" s="1575"/>
      <c r="K193" s="1575"/>
    </row>
    <row r="194" spans="1:11" ht="12.75" customHeight="1" x14ac:dyDescent="0.2">
      <c r="A194" s="427" t="s">
        <v>1434</v>
      </c>
      <c r="B194" s="429">
        <v>4225</v>
      </c>
      <c r="C194" s="1632">
        <v>21280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66363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45141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45141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8576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8576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249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76512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76761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6698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2811</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227854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227854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3017438</v>
      </c>
      <c r="D268" s="1641">
        <f t="shared" si="12"/>
        <v>467509</v>
      </c>
      <c r="E268" s="1641">
        <f t="shared" si="12"/>
        <v>380352</v>
      </c>
      <c r="F268" s="1641">
        <f t="shared" si="12"/>
        <v>253570</v>
      </c>
      <c r="G268" s="1641">
        <f t="shared" si="12"/>
        <v>41145</v>
      </c>
      <c r="H268" s="1641">
        <f t="shared" si="12"/>
        <v>140960</v>
      </c>
      <c r="I268" s="1641">
        <f t="shared" si="12"/>
        <v>45174</v>
      </c>
      <c r="J268" s="1641">
        <f t="shared" si="12"/>
        <v>246570</v>
      </c>
      <c r="K268" s="1629">
        <f t="shared" si="12"/>
        <v>32674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909076</v>
      </c>
      <c r="D5" s="1573">
        <v>233376</v>
      </c>
      <c r="E5" s="1573">
        <v>44184</v>
      </c>
      <c r="F5" s="1573">
        <v>54192</v>
      </c>
      <c r="G5" s="1573">
        <v>21650</v>
      </c>
      <c r="H5" s="1573"/>
      <c r="I5" s="1574"/>
      <c r="J5" s="1574"/>
      <c r="K5" s="1672">
        <f>SUM(C5:J5)</f>
        <v>1262478</v>
      </c>
      <c r="L5" s="1573">
        <v>1661983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52121</v>
      </c>
      <c r="D7" s="1574">
        <v>18767</v>
      </c>
      <c r="E7" s="1574">
        <v>75</v>
      </c>
      <c r="F7" s="1574">
        <v>5832</v>
      </c>
      <c r="G7" s="1574"/>
      <c r="H7" s="1574"/>
      <c r="I7" s="1574"/>
      <c r="J7" s="1574"/>
      <c r="K7" s="1672">
        <f t="shared" ref="K7:K32" si="0">SUM(C7:J7)</f>
        <v>76795</v>
      </c>
      <c r="L7" s="1573">
        <v>83554</v>
      </c>
    </row>
    <row r="8" spans="1:14" x14ac:dyDescent="0.2">
      <c r="A8" s="1274" t="s">
        <v>163</v>
      </c>
      <c r="B8" s="503">
        <v>1200</v>
      </c>
      <c r="C8" s="1573">
        <v>42960</v>
      </c>
      <c r="D8" s="1573">
        <v>17607</v>
      </c>
      <c r="E8" s="1573">
        <v>2835</v>
      </c>
      <c r="F8" s="1573">
        <v>680</v>
      </c>
      <c r="G8" s="1573"/>
      <c r="H8" s="1573"/>
      <c r="I8" s="1574"/>
      <c r="J8" s="1574"/>
      <c r="K8" s="1672">
        <f t="shared" si="0"/>
        <v>64082</v>
      </c>
      <c r="L8" s="1573">
        <v>71000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51589</v>
      </c>
      <c r="D10" s="1573">
        <v>5669</v>
      </c>
      <c r="E10" s="1573">
        <v>5036</v>
      </c>
      <c r="F10" s="1573">
        <v>26975</v>
      </c>
      <c r="G10" s="1573"/>
      <c r="H10" s="1573">
        <v>2597</v>
      </c>
      <c r="I10" s="1574"/>
      <c r="J10" s="1574"/>
      <c r="K10" s="1672">
        <f t="shared" si="0"/>
        <v>91866</v>
      </c>
      <c r="L10" s="1573">
        <v>64121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105622</v>
      </c>
      <c r="D13" s="1573">
        <v>28958</v>
      </c>
      <c r="E13" s="1573">
        <v>1907</v>
      </c>
      <c r="F13" s="1573">
        <v>10510</v>
      </c>
      <c r="G13" s="1573"/>
      <c r="H13" s="1573"/>
      <c r="I13" s="1574"/>
      <c r="J13" s="1574"/>
      <c r="K13" s="1672">
        <f t="shared" si="0"/>
        <v>146997</v>
      </c>
      <c r="L13" s="1573">
        <v>135000</v>
      </c>
    </row>
    <row r="14" spans="1:14" x14ac:dyDescent="0.2">
      <c r="A14" s="1274" t="s">
        <v>957</v>
      </c>
      <c r="B14" s="503">
        <v>1500</v>
      </c>
      <c r="C14" s="1573">
        <v>109167</v>
      </c>
      <c r="D14" s="1573">
        <v>26468</v>
      </c>
      <c r="E14" s="1573">
        <v>12075</v>
      </c>
      <c r="F14" s="1573">
        <v>11229</v>
      </c>
      <c r="G14" s="1573"/>
      <c r="H14" s="1573"/>
      <c r="I14" s="1574"/>
      <c r="J14" s="1574"/>
      <c r="K14" s="1672">
        <f t="shared" si="0"/>
        <v>158939</v>
      </c>
      <c r="L14" s="1573">
        <v>183000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1270535</v>
      </c>
      <c r="D33" s="1674">
        <f t="shared" ref="D33:L33" si="1">SUM(D5:D32)</f>
        <v>330845</v>
      </c>
      <c r="E33" s="1674">
        <f t="shared" si="1"/>
        <v>66112</v>
      </c>
      <c r="F33" s="1674">
        <f t="shared" si="1"/>
        <v>109418</v>
      </c>
      <c r="G33" s="1674">
        <f t="shared" si="1"/>
        <v>21650</v>
      </c>
      <c r="H33" s="1674">
        <f t="shared" si="1"/>
        <v>2597</v>
      </c>
      <c r="I33" s="1674">
        <f t="shared" si="1"/>
        <v>0</v>
      </c>
      <c r="J33" s="1674">
        <f t="shared" si="1"/>
        <v>0</v>
      </c>
      <c r="K33" s="1674">
        <f t="shared" si="1"/>
        <v>1801157</v>
      </c>
      <c r="L33" s="1674">
        <f t="shared" si="1"/>
        <v>2198658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33357</v>
      </c>
      <c r="D36" s="1586">
        <v>8342</v>
      </c>
      <c r="E36" s="1586"/>
      <c r="F36" s="1586"/>
      <c r="G36" s="1586"/>
      <c r="H36" s="1586"/>
      <c r="I36" s="1574"/>
      <c r="J36" s="1574"/>
      <c r="K36" s="1672">
        <f t="shared" ref="K36:K41" si="2">SUM(C36:J36)</f>
        <v>41699</v>
      </c>
      <c r="L36" s="1573">
        <v>55000</v>
      </c>
    </row>
    <row r="37" spans="1:14" x14ac:dyDescent="0.2">
      <c r="A37" s="1274" t="s">
        <v>1081</v>
      </c>
      <c r="B37" s="503">
        <v>2120</v>
      </c>
      <c r="C37" s="1573">
        <v>53330</v>
      </c>
      <c r="D37" s="1573"/>
      <c r="E37" s="1573">
        <v>260</v>
      </c>
      <c r="F37" s="1573">
        <v>235</v>
      </c>
      <c r="G37" s="1573"/>
      <c r="H37" s="1573"/>
      <c r="I37" s="1574"/>
      <c r="J37" s="1574"/>
      <c r="K37" s="1672">
        <f t="shared" si="2"/>
        <v>53825</v>
      </c>
      <c r="L37" s="1573">
        <v>54000</v>
      </c>
    </row>
    <row r="38" spans="1:14" x14ac:dyDescent="0.2">
      <c r="A38" s="1274" t="s">
        <v>196</v>
      </c>
      <c r="B38" s="503">
        <v>2130</v>
      </c>
      <c r="C38" s="1573">
        <v>200</v>
      </c>
      <c r="D38" s="1573">
        <v>7130</v>
      </c>
      <c r="E38" s="1573">
        <v>151</v>
      </c>
      <c r="F38" s="1573">
        <v>317</v>
      </c>
      <c r="G38" s="1573"/>
      <c r="H38" s="1573"/>
      <c r="I38" s="1574"/>
      <c r="J38" s="1574"/>
      <c r="K38" s="1672">
        <f t="shared" si="2"/>
        <v>7798</v>
      </c>
      <c r="L38" s="1573">
        <v>8450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19386</v>
      </c>
      <c r="D40" s="1573">
        <v>7773</v>
      </c>
      <c r="E40" s="1573"/>
      <c r="F40" s="1573"/>
      <c r="G40" s="1573"/>
      <c r="H40" s="1573"/>
      <c r="I40" s="1574"/>
      <c r="J40" s="1574"/>
      <c r="K40" s="1672">
        <f t="shared" si="2"/>
        <v>27159</v>
      </c>
      <c r="L40" s="1573">
        <v>36000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106273</v>
      </c>
      <c r="D42" s="1674">
        <f t="shared" ref="D42:L42" si="3">SUM(D36:D41)</f>
        <v>23245</v>
      </c>
      <c r="E42" s="1674">
        <f t="shared" si="3"/>
        <v>411</v>
      </c>
      <c r="F42" s="1674">
        <f t="shared" si="3"/>
        <v>552</v>
      </c>
      <c r="G42" s="1674">
        <f t="shared" si="3"/>
        <v>0</v>
      </c>
      <c r="H42" s="1674">
        <f t="shared" si="3"/>
        <v>0</v>
      </c>
      <c r="I42" s="1674">
        <f t="shared" si="3"/>
        <v>0</v>
      </c>
      <c r="J42" s="1674">
        <f t="shared" si="3"/>
        <v>0</v>
      </c>
      <c r="K42" s="1674">
        <f t="shared" si="3"/>
        <v>130481</v>
      </c>
      <c r="L42" s="1674">
        <f t="shared" si="3"/>
        <v>153450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8737</v>
      </c>
      <c r="D45" s="1573">
        <v>7130</v>
      </c>
      <c r="E45" s="1573">
        <v>1680</v>
      </c>
      <c r="F45" s="1573">
        <v>91</v>
      </c>
      <c r="G45" s="1573"/>
      <c r="H45" s="1573"/>
      <c r="I45" s="1574"/>
      <c r="J45" s="1574"/>
      <c r="K45" s="1678">
        <f>SUM(C45:J45)</f>
        <v>17638</v>
      </c>
      <c r="L45" s="1573">
        <v>31200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8737</v>
      </c>
      <c r="D47" s="1674">
        <f t="shared" ref="D47:K47" si="4">SUM(D44:D46)</f>
        <v>7130</v>
      </c>
      <c r="E47" s="1674">
        <f t="shared" si="4"/>
        <v>1680</v>
      </c>
      <c r="F47" s="1674">
        <f t="shared" si="4"/>
        <v>91</v>
      </c>
      <c r="G47" s="1674">
        <f t="shared" si="4"/>
        <v>0</v>
      </c>
      <c r="H47" s="1674">
        <f t="shared" si="4"/>
        <v>0</v>
      </c>
      <c r="I47" s="1674">
        <f t="shared" si="4"/>
        <v>0</v>
      </c>
      <c r="J47" s="1674">
        <f t="shared" si="4"/>
        <v>0</v>
      </c>
      <c r="K47" s="1674">
        <f t="shared" si="4"/>
        <v>17638</v>
      </c>
      <c r="L47" s="1674">
        <f>SUM(L44:L46)</f>
        <v>31200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20374</v>
      </c>
      <c r="F49" s="1586">
        <v>267</v>
      </c>
      <c r="G49" s="1586"/>
      <c r="H49" s="1586"/>
      <c r="I49" s="1574"/>
      <c r="J49" s="1574"/>
      <c r="K49" s="1678">
        <f>SUM(C49:J49)</f>
        <v>20641</v>
      </c>
      <c r="L49" s="1586">
        <v>19500</v>
      </c>
    </row>
    <row r="50" spans="1:14" x14ac:dyDescent="0.2">
      <c r="A50" s="1274" t="s">
        <v>813</v>
      </c>
      <c r="B50" s="503">
        <v>2320</v>
      </c>
      <c r="C50" s="1573">
        <v>111568</v>
      </c>
      <c r="D50" s="1573">
        <v>24117</v>
      </c>
      <c r="E50" s="1573">
        <v>4668</v>
      </c>
      <c r="F50" s="1573">
        <v>12447</v>
      </c>
      <c r="G50" s="1573"/>
      <c r="H50" s="1573">
        <v>33312</v>
      </c>
      <c r="I50" s="1574"/>
      <c r="J50" s="1574"/>
      <c r="K50" s="1678">
        <f>SUM(C50:J50)</f>
        <v>186112</v>
      </c>
      <c r="L50" s="1573">
        <v>146993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111568</v>
      </c>
      <c r="D53" s="1674">
        <f t="shared" ref="D53:L53" si="5">SUM(D49:D52)</f>
        <v>24117</v>
      </c>
      <c r="E53" s="1674">
        <f t="shared" si="5"/>
        <v>25042</v>
      </c>
      <c r="F53" s="1674">
        <f t="shared" si="5"/>
        <v>12714</v>
      </c>
      <c r="G53" s="1674">
        <f t="shared" si="5"/>
        <v>0</v>
      </c>
      <c r="H53" s="1674">
        <f t="shared" si="5"/>
        <v>33312</v>
      </c>
      <c r="I53" s="1674">
        <f t="shared" si="5"/>
        <v>0</v>
      </c>
      <c r="J53" s="1674">
        <f t="shared" si="5"/>
        <v>0</v>
      </c>
      <c r="K53" s="1674">
        <f t="shared" si="5"/>
        <v>206753</v>
      </c>
      <c r="L53" s="1674">
        <f t="shared" si="5"/>
        <v>166493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243607</v>
      </c>
      <c r="D55" s="1586">
        <v>38650</v>
      </c>
      <c r="E55" s="1586">
        <v>2989</v>
      </c>
      <c r="F55" s="1586">
        <v>143</v>
      </c>
      <c r="G55" s="1586"/>
      <c r="H55" s="1586"/>
      <c r="I55" s="1574"/>
      <c r="J55" s="1574"/>
      <c r="K55" s="1678">
        <f>SUM(C55:J55)</f>
        <v>285389</v>
      </c>
      <c r="L55" s="1586">
        <v>291000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243607</v>
      </c>
      <c r="D57" s="1679">
        <f t="shared" ref="D57:K57" si="6">SUM(D55:D56)</f>
        <v>38650</v>
      </c>
      <c r="E57" s="1679">
        <f t="shared" si="6"/>
        <v>2989</v>
      </c>
      <c r="F57" s="1679">
        <f t="shared" si="6"/>
        <v>143</v>
      </c>
      <c r="G57" s="1679">
        <f t="shared" si="6"/>
        <v>0</v>
      </c>
      <c r="H57" s="1679">
        <f t="shared" si="6"/>
        <v>0</v>
      </c>
      <c r="I57" s="1679">
        <f t="shared" si="6"/>
        <v>0</v>
      </c>
      <c r="J57" s="1679">
        <f t="shared" si="6"/>
        <v>0</v>
      </c>
      <c r="K57" s="1679">
        <f t="shared" si="6"/>
        <v>285389</v>
      </c>
      <c r="L57" s="1674">
        <f>SUM(L55:L56)</f>
        <v>291000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53498</v>
      </c>
      <c r="D60" s="1573">
        <v>7130</v>
      </c>
      <c r="E60" s="1573">
        <v>20464</v>
      </c>
      <c r="F60" s="1573">
        <v>565</v>
      </c>
      <c r="G60" s="1573"/>
      <c r="H60" s="1573"/>
      <c r="I60" s="1574"/>
      <c r="J60" s="1574"/>
      <c r="K60" s="1678">
        <f t="shared" si="7"/>
        <v>81657</v>
      </c>
      <c r="L60" s="1573">
        <v>83700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83212</v>
      </c>
      <c r="F63" s="1573"/>
      <c r="G63" s="1573"/>
      <c r="H63" s="1573"/>
      <c r="I63" s="1574"/>
      <c r="J63" s="1574"/>
      <c r="K63" s="1678">
        <f t="shared" si="7"/>
        <v>83212</v>
      </c>
      <c r="L63" s="1573">
        <v>104000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53498</v>
      </c>
      <c r="D65" s="1674">
        <f t="shared" ref="D65:L65" si="8">SUM(D59:D64)</f>
        <v>7130</v>
      </c>
      <c r="E65" s="1674">
        <f t="shared" si="8"/>
        <v>103676</v>
      </c>
      <c r="F65" s="1674">
        <f t="shared" si="8"/>
        <v>565</v>
      </c>
      <c r="G65" s="1674">
        <f t="shared" si="8"/>
        <v>0</v>
      </c>
      <c r="H65" s="1674">
        <f t="shared" si="8"/>
        <v>0</v>
      </c>
      <c r="I65" s="1674">
        <f t="shared" si="8"/>
        <v>0</v>
      </c>
      <c r="J65" s="1674">
        <f t="shared" si="8"/>
        <v>0</v>
      </c>
      <c r="K65" s="1674">
        <f t="shared" si="8"/>
        <v>164869</v>
      </c>
      <c r="L65" s="1674">
        <f t="shared" si="8"/>
        <v>187700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523683</v>
      </c>
      <c r="D74" s="1681">
        <f t="shared" ref="D74:K74" si="10">SUM(D42,D47,D53,D57,D65,D72,D73)</f>
        <v>100272</v>
      </c>
      <c r="E74" s="1681">
        <f t="shared" si="10"/>
        <v>133798</v>
      </c>
      <c r="F74" s="1681">
        <f t="shared" si="10"/>
        <v>14065</v>
      </c>
      <c r="G74" s="1681">
        <f t="shared" si="10"/>
        <v>0</v>
      </c>
      <c r="H74" s="1681">
        <f t="shared" si="10"/>
        <v>33312</v>
      </c>
      <c r="I74" s="1681">
        <f t="shared" si="10"/>
        <v>0</v>
      </c>
      <c r="J74" s="1681">
        <f t="shared" si="10"/>
        <v>0</v>
      </c>
      <c r="K74" s="1681">
        <f t="shared" si="10"/>
        <v>805130</v>
      </c>
      <c r="L74" s="1681">
        <f>SUM(L42,L47,L53,L57,L65,L72,L73)</f>
        <v>829843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78777</v>
      </c>
      <c r="F79" s="1673"/>
      <c r="G79" s="1673"/>
      <c r="H79" s="1573"/>
      <c r="I79" s="1582"/>
      <c r="J79" s="1582"/>
      <c r="K79" s="1672">
        <f t="shared" si="11"/>
        <v>78777</v>
      </c>
      <c r="L79" s="1573">
        <v>55000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78777</v>
      </c>
      <c r="F84" s="1673"/>
      <c r="G84" s="1673"/>
      <c r="H84" s="1674">
        <f>SUM(H78:H83)</f>
        <v>0</v>
      </c>
      <c r="I84" s="1582"/>
      <c r="J84" s="1582"/>
      <c r="K84" s="1674">
        <f>SUM(K78:K83)</f>
        <v>78777</v>
      </c>
      <c r="L84" s="1674">
        <f>SUM(L78:L83)</f>
        <v>55000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40000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40000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78777</v>
      </c>
      <c r="F102" s="1673"/>
      <c r="G102" s="1673"/>
      <c r="H102" s="1681">
        <f>SUM(H84,H92,H100,H101)</f>
        <v>0</v>
      </c>
      <c r="I102" s="1582"/>
      <c r="J102" s="1582"/>
      <c r="K102" s="1681">
        <f>SUM(K84,K92,K100,K101)</f>
        <v>78777</v>
      </c>
      <c r="L102" s="1681">
        <f>SUM(L84,L92,L100,L101)</f>
        <v>95000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1794218</v>
      </c>
      <c r="D114" s="1674">
        <f t="shared" ref="D114:K114" si="13">SUM(D33,D74,D75,D102,D112,D113)</f>
        <v>431117</v>
      </c>
      <c r="E114" s="1674">
        <f t="shared" si="13"/>
        <v>278687</v>
      </c>
      <c r="F114" s="1674">
        <f t="shared" si="13"/>
        <v>123483</v>
      </c>
      <c r="G114" s="1674">
        <f t="shared" si="13"/>
        <v>21650</v>
      </c>
      <c r="H114" s="1674">
        <f>SUM(H33,H74,H75,H102,H112,H113)</f>
        <v>35909</v>
      </c>
      <c r="I114" s="1674">
        <f t="shared" si="13"/>
        <v>0</v>
      </c>
      <c r="J114" s="1674">
        <f t="shared" si="13"/>
        <v>0</v>
      </c>
      <c r="K114" s="1674">
        <f t="shared" si="13"/>
        <v>2685064</v>
      </c>
      <c r="L114" s="1674">
        <f>SUM(L33,L74,L75,L102,L112,L113)</f>
        <v>3123501</v>
      </c>
    </row>
    <row r="115" spans="1:14" ht="13.5" thickTop="1" x14ac:dyDescent="0.2">
      <c r="A115" s="2289" t="s">
        <v>989</v>
      </c>
      <c r="B115" s="2290"/>
      <c r="C115" s="1675"/>
      <c r="D115" s="1675"/>
      <c r="E115" s="1675"/>
      <c r="F115" s="1675"/>
      <c r="G115" s="1675"/>
      <c r="H115" s="1675"/>
      <c r="I115" s="1675"/>
      <c r="J115" s="1675"/>
      <c r="K115" s="1689">
        <f>'Revenues 9-14'!C268-'Expenditures 15-22'!K114</f>
        <v>332374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134394</v>
      </c>
      <c r="D124" s="1573">
        <v>13130</v>
      </c>
      <c r="E124" s="1573">
        <v>124671</v>
      </c>
      <c r="F124" s="1573">
        <v>38038</v>
      </c>
      <c r="G124" s="1573"/>
      <c r="H124" s="1573"/>
      <c r="I124" s="1574"/>
      <c r="J124" s="1574"/>
      <c r="K124" s="1674">
        <f>SUM(C124:J124)</f>
        <v>310233</v>
      </c>
      <c r="L124" s="1573">
        <v>289000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134394</v>
      </c>
      <c r="D127" s="1674">
        <f t="shared" ref="D127:L127" si="14">SUM(D122:D126)</f>
        <v>13130</v>
      </c>
      <c r="E127" s="1674">
        <f t="shared" si="14"/>
        <v>124671</v>
      </c>
      <c r="F127" s="1674">
        <f t="shared" si="14"/>
        <v>38038</v>
      </c>
      <c r="G127" s="1674">
        <f t="shared" si="14"/>
        <v>0</v>
      </c>
      <c r="H127" s="1674">
        <f t="shared" si="14"/>
        <v>0</v>
      </c>
      <c r="I127" s="1674">
        <f t="shared" si="14"/>
        <v>0</v>
      </c>
      <c r="J127" s="1674">
        <f t="shared" si="14"/>
        <v>0</v>
      </c>
      <c r="K127" s="1674">
        <f t="shared" si="14"/>
        <v>310233</v>
      </c>
      <c r="L127" s="1674">
        <f t="shared" si="14"/>
        <v>289000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134394</v>
      </c>
      <c r="D129" s="1681">
        <f t="shared" ref="D129:L129" si="15">SUM(D120,D127,D128)</f>
        <v>13130</v>
      </c>
      <c r="E129" s="1681">
        <f t="shared" si="15"/>
        <v>124671</v>
      </c>
      <c r="F129" s="1681">
        <f t="shared" si="15"/>
        <v>38038</v>
      </c>
      <c r="G129" s="1681">
        <f t="shared" si="15"/>
        <v>0</v>
      </c>
      <c r="H129" s="1681">
        <f t="shared" si="15"/>
        <v>0</v>
      </c>
      <c r="I129" s="1681">
        <f t="shared" si="15"/>
        <v>0</v>
      </c>
      <c r="J129" s="1681">
        <f t="shared" si="15"/>
        <v>0</v>
      </c>
      <c r="K129" s="1681">
        <f t="shared" si="15"/>
        <v>310233</v>
      </c>
      <c r="L129" s="1681">
        <f t="shared" si="15"/>
        <v>289000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134394</v>
      </c>
      <c r="D151" s="1674">
        <f t="shared" ref="D151:K151" si="16">SUM(D129,D130,D139,D149,D150)</f>
        <v>13130</v>
      </c>
      <c r="E151" s="1674">
        <f t="shared" si="16"/>
        <v>124671</v>
      </c>
      <c r="F151" s="1674">
        <f t="shared" si="16"/>
        <v>38038</v>
      </c>
      <c r="G151" s="1674">
        <f t="shared" si="16"/>
        <v>0</v>
      </c>
      <c r="H151" s="1674">
        <f t="shared" si="16"/>
        <v>0</v>
      </c>
      <c r="I151" s="1674">
        <f t="shared" si="16"/>
        <v>0</v>
      </c>
      <c r="J151" s="1674">
        <f t="shared" si="16"/>
        <v>0</v>
      </c>
      <c r="K151" s="1674">
        <f t="shared" si="16"/>
        <v>310233</v>
      </c>
      <c r="L151" s="1674">
        <f>SUM(L129,L130,L139,L149,L150)</f>
        <v>289000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157276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117236</v>
      </c>
      <c r="I169" s="1673"/>
      <c r="J169" s="1673"/>
      <c r="K169" s="1672">
        <f>SUM(C169:H169)</f>
        <v>117236</v>
      </c>
      <c r="L169" s="1695"/>
    </row>
    <row r="170" spans="1:14" ht="33.75" customHeight="1" x14ac:dyDescent="0.2">
      <c r="A170" s="543" t="s">
        <v>1651</v>
      </c>
      <c r="B170" s="545" t="s">
        <v>31</v>
      </c>
      <c r="C170" s="1673"/>
      <c r="D170" s="1673"/>
      <c r="E170" s="1673"/>
      <c r="F170" s="1673"/>
      <c r="G170" s="1673"/>
      <c r="H170" s="1646">
        <v>250000</v>
      </c>
      <c r="I170" s="1673"/>
      <c r="J170" s="1673"/>
      <c r="K170" s="1672">
        <f>SUM(C170:J170)</f>
        <v>250000</v>
      </c>
      <c r="L170" s="1646"/>
    </row>
    <row r="171" spans="1:14" ht="15.75" customHeight="1" x14ac:dyDescent="0.2">
      <c r="A171" s="507" t="s">
        <v>761</v>
      </c>
      <c r="B171" s="546" t="s">
        <v>84</v>
      </c>
      <c r="C171" s="1673"/>
      <c r="D171" s="1673"/>
      <c r="E171" s="1573"/>
      <c r="F171" s="1673"/>
      <c r="G171" s="1673"/>
      <c r="H171" s="1646">
        <v>2000</v>
      </c>
      <c r="I171" s="1582"/>
      <c r="J171" s="1673"/>
      <c r="K171" s="1672">
        <f>SUM(C171:J171)</f>
        <v>2000</v>
      </c>
      <c r="L171" s="1646">
        <v>380000</v>
      </c>
    </row>
    <row r="172" spans="1:14" ht="12.75" customHeight="1" thickBot="1" x14ac:dyDescent="0.25">
      <c r="A172" s="1380" t="s">
        <v>633</v>
      </c>
      <c r="B172" s="1381" t="s">
        <v>489</v>
      </c>
      <c r="C172" s="1673"/>
      <c r="D172" s="1673"/>
      <c r="E172" s="1681">
        <f>SUM(E168,E169,E170,E171)</f>
        <v>0</v>
      </c>
      <c r="F172" s="1673"/>
      <c r="G172" s="1673"/>
      <c r="H172" s="1681">
        <f>SUM(H168,H169,H170,H171)</f>
        <v>369236</v>
      </c>
      <c r="I172" s="1684"/>
      <c r="J172" s="1673"/>
      <c r="K172" s="1681">
        <f>SUM(K168,K169,K170,K171)</f>
        <v>369236</v>
      </c>
      <c r="L172" s="1681">
        <f>SUM(L168,L169,L170,L171)</f>
        <v>380000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369236</v>
      </c>
      <c r="I174" s="1684"/>
      <c r="J174" s="1673"/>
      <c r="K174" s="1681">
        <f>SUM(K160,K172,K173)</f>
        <v>369236</v>
      </c>
      <c r="L174" s="1681">
        <f>SUM(L160,L172,L173)</f>
        <v>380000</v>
      </c>
    </row>
    <row r="175" spans="1:14" ht="13.5" thickTop="1" x14ac:dyDescent="0.2">
      <c r="A175" s="2289" t="s">
        <v>989</v>
      </c>
      <c r="B175" s="2290"/>
      <c r="C175" s="1673"/>
      <c r="D175" s="1673"/>
      <c r="E175" s="1673"/>
      <c r="F175" s="1673"/>
      <c r="G175" s="1673"/>
      <c r="H175" s="1675"/>
      <c r="I175" s="1673"/>
      <c r="J175" s="1673"/>
      <c r="K175" s="1689">
        <f>'Revenues 9-14'!E268-'Expenditures 15-22'!K174</f>
        <v>11116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280305</v>
      </c>
      <c r="F182" s="1573"/>
      <c r="G182" s="1573"/>
      <c r="H182" s="1573"/>
      <c r="I182" s="1574"/>
      <c r="J182" s="1574"/>
      <c r="K182" s="1672">
        <f>SUM(C182:J182)</f>
        <v>280305</v>
      </c>
      <c r="L182" s="1573">
        <v>300000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280305</v>
      </c>
      <c r="F184" s="1681">
        <f t="shared" si="17"/>
        <v>0</v>
      </c>
      <c r="G184" s="1681">
        <f t="shared" si="17"/>
        <v>0</v>
      </c>
      <c r="H184" s="1681">
        <f t="shared" si="17"/>
        <v>0</v>
      </c>
      <c r="I184" s="1681">
        <f t="shared" si="17"/>
        <v>0</v>
      </c>
      <c r="J184" s="1681">
        <f t="shared" si="17"/>
        <v>0</v>
      </c>
      <c r="K184" s="1681">
        <f>SUM(K180,K182,K183)</f>
        <v>280305</v>
      </c>
      <c r="L184" s="1681">
        <f>SUM(L180, L182:L183)</f>
        <v>300000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280305</v>
      </c>
      <c r="F210" s="1674">
        <f>SUM(F184,F185)</f>
        <v>0</v>
      </c>
      <c r="G210" s="1674">
        <f>SUM(G184,G185)</f>
        <v>0</v>
      </c>
      <c r="H210" s="1674">
        <f>SUM(H184,H185,H196,H208,H209)</f>
        <v>0</v>
      </c>
      <c r="I210" s="1674">
        <f>SUM(I184,I185)</f>
        <v>0</v>
      </c>
      <c r="J210" s="1674">
        <f>SUM(J184,J185)</f>
        <v>0</v>
      </c>
      <c r="K210" s="1672">
        <f>SUM(K184,K185,K196,K208,K209)</f>
        <v>280305</v>
      </c>
      <c r="L210" s="1674">
        <f>SUM(L184,L185,L196,L208,L209)</f>
        <v>300000</v>
      </c>
    </row>
    <row r="211" spans="1:14" ht="13.5" thickTop="1" x14ac:dyDescent="0.2">
      <c r="A211" s="2289" t="s">
        <v>989</v>
      </c>
      <c r="B211" s="2290"/>
      <c r="C211" s="1675"/>
      <c r="D211" s="1675"/>
      <c r="E211" s="1675"/>
      <c r="F211" s="1675"/>
      <c r="G211" s="1675"/>
      <c r="H211" s="1675"/>
      <c r="I211" s="1673"/>
      <c r="J211" s="1673"/>
      <c r="K211" s="1689">
        <f>'Revenues 9-14'!F268-'Expenditures 15-22'!K210</f>
        <v>-26735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18867</v>
      </c>
      <c r="E215" s="1673"/>
      <c r="F215" s="1673"/>
      <c r="G215" s="1673"/>
      <c r="H215" s="1673"/>
      <c r="I215" s="1673"/>
      <c r="J215" s="1673"/>
      <c r="K215" s="1672">
        <f>D215</f>
        <v>18867</v>
      </c>
      <c r="L215" s="1573">
        <v>17000</v>
      </c>
    </row>
    <row r="216" spans="1:14" x14ac:dyDescent="0.2">
      <c r="A216" s="1274" t="s">
        <v>162</v>
      </c>
      <c r="B216" s="503" t="s">
        <v>961</v>
      </c>
      <c r="C216" s="1673"/>
      <c r="D216" s="1574">
        <v>2914</v>
      </c>
      <c r="E216" s="1673"/>
      <c r="F216" s="1673"/>
      <c r="G216" s="1673"/>
      <c r="H216" s="1673"/>
      <c r="I216" s="1673"/>
      <c r="J216" s="1673"/>
      <c r="K216" s="1672">
        <f t="shared" ref="K216:K228" si="19">D216</f>
        <v>2914</v>
      </c>
      <c r="L216" s="1573">
        <v>3000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3954</v>
      </c>
      <c r="E219" s="1673"/>
      <c r="F219" s="1673"/>
      <c r="G219" s="1673"/>
      <c r="H219" s="1673"/>
      <c r="I219" s="1673"/>
      <c r="J219" s="1673"/>
      <c r="K219" s="1672">
        <f t="shared" si="19"/>
        <v>3954</v>
      </c>
      <c r="L219" s="1573">
        <v>5000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1483</v>
      </c>
      <c r="E222" s="1673"/>
      <c r="F222" s="1673"/>
      <c r="G222" s="1673"/>
      <c r="H222" s="1673"/>
      <c r="I222" s="1673"/>
      <c r="J222" s="1673"/>
      <c r="K222" s="1672">
        <f t="shared" si="19"/>
        <v>1483</v>
      </c>
      <c r="L222" s="1573">
        <v>1500</v>
      </c>
    </row>
    <row r="223" spans="1:14" x14ac:dyDescent="0.2">
      <c r="A223" s="1274" t="s">
        <v>957</v>
      </c>
      <c r="B223" s="503">
        <v>1500</v>
      </c>
      <c r="C223" s="1673"/>
      <c r="D223" s="1573">
        <v>2214</v>
      </c>
      <c r="E223" s="1673"/>
      <c r="F223" s="1673"/>
      <c r="G223" s="1673"/>
      <c r="H223" s="1673"/>
      <c r="I223" s="1673"/>
      <c r="J223" s="1673"/>
      <c r="K223" s="1672">
        <f t="shared" si="19"/>
        <v>2214</v>
      </c>
      <c r="L223" s="1573">
        <v>2500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29432</v>
      </c>
      <c r="E229" s="1673"/>
      <c r="F229" s="1673"/>
      <c r="G229" s="1673"/>
      <c r="H229" s="1673"/>
      <c r="I229" s="1673"/>
      <c r="J229" s="1673"/>
      <c r="K229" s="1674">
        <f>SUM(K215:K228)</f>
        <v>29432</v>
      </c>
      <c r="L229" s="1674">
        <f>SUM(L215:L228)</f>
        <v>29000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764</v>
      </c>
      <c r="E233" s="1673"/>
      <c r="F233" s="1673"/>
      <c r="G233" s="1673"/>
      <c r="H233" s="1673"/>
      <c r="I233" s="1673"/>
      <c r="J233" s="1673"/>
      <c r="K233" s="1672">
        <f t="shared" si="20"/>
        <v>764</v>
      </c>
      <c r="L233" s="1573">
        <v>800</v>
      </c>
    </row>
    <row r="234" spans="1:12" x14ac:dyDescent="0.2">
      <c r="A234" s="1274" t="s">
        <v>196</v>
      </c>
      <c r="B234" s="503">
        <v>2130</v>
      </c>
      <c r="C234" s="1673"/>
      <c r="D234" s="1573">
        <v>3042</v>
      </c>
      <c r="E234" s="1673"/>
      <c r="F234" s="1673"/>
      <c r="G234" s="1673"/>
      <c r="H234" s="1673"/>
      <c r="I234" s="1673"/>
      <c r="J234" s="1673"/>
      <c r="K234" s="1672">
        <f t="shared" si="20"/>
        <v>3042</v>
      </c>
      <c r="L234" s="1573">
        <v>3200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3806</v>
      </c>
      <c r="E238" s="1673"/>
      <c r="F238" s="1673"/>
      <c r="G238" s="1673"/>
      <c r="H238" s="1673"/>
      <c r="I238" s="1673"/>
      <c r="J238" s="1673"/>
      <c r="K238" s="1674">
        <f>SUM(K232:K237)</f>
        <v>3806</v>
      </c>
      <c r="L238" s="1674">
        <f>SUM(L232:L237)</f>
        <v>4000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1297</v>
      </c>
      <c r="E241" s="1673"/>
      <c r="F241" s="1673"/>
      <c r="G241" s="1673"/>
      <c r="H241" s="1673"/>
      <c r="I241" s="1673"/>
      <c r="J241" s="1673"/>
      <c r="K241" s="1678">
        <f>D241</f>
        <v>1297</v>
      </c>
      <c r="L241" s="1573">
        <v>1000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1297</v>
      </c>
      <c r="E243" s="1673"/>
      <c r="F243" s="1673"/>
      <c r="G243" s="1673"/>
      <c r="H243" s="1673"/>
      <c r="I243" s="1673"/>
      <c r="J243" s="1673"/>
      <c r="K243" s="1674">
        <f>SUM(K240:K242)</f>
        <v>1297</v>
      </c>
      <c r="L243" s="1674">
        <f>SUM(L240:L242)</f>
        <v>1000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1862</v>
      </c>
      <c r="E246" s="1673"/>
      <c r="F246" s="1673"/>
      <c r="G246" s="1673"/>
      <c r="H246" s="1673"/>
      <c r="I246" s="1673"/>
      <c r="J246" s="1673"/>
      <c r="K246" s="1678">
        <f t="shared" ref="K246:K256" si="21">D246</f>
        <v>1862</v>
      </c>
      <c r="L246" s="1573">
        <v>1725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1862</v>
      </c>
      <c r="E257" s="1673"/>
      <c r="F257" s="1673"/>
      <c r="G257" s="1673"/>
      <c r="H257" s="1673"/>
      <c r="I257" s="1673"/>
      <c r="J257" s="1673"/>
      <c r="K257" s="1674">
        <f>SUM(K245:K256)</f>
        <v>1862</v>
      </c>
      <c r="L257" s="1674">
        <f>SUM(L245:L256)</f>
        <v>1725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12068</v>
      </c>
      <c r="E259" s="1673"/>
      <c r="F259" s="1673"/>
      <c r="G259" s="1673"/>
      <c r="H259" s="1673"/>
      <c r="I259" s="1673"/>
      <c r="J259" s="1673"/>
      <c r="K259" s="1678">
        <f>D259</f>
        <v>12068</v>
      </c>
      <c r="L259" s="1586">
        <v>13000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12068</v>
      </c>
      <c r="E261" s="1673"/>
      <c r="F261" s="1673"/>
      <c r="G261" s="1673"/>
      <c r="H261" s="1673"/>
      <c r="I261" s="1673"/>
      <c r="J261" s="1673"/>
      <c r="K261" s="1674">
        <f>SUM(K259:K260)</f>
        <v>12068</v>
      </c>
      <c r="L261" s="1674">
        <f>SUM(L259:L260)</f>
        <v>13000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6539</v>
      </c>
      <c r="E264" s="1673"/>
      <c r="F264" s="1673"/>
      <c r="G264" s="1673"/>
      <c r="H264" s="1673"/>
      <c r="I264" s="1673"/>
      <c r="J264" s="1673"/>
      <c r="K264" s="1678">
        <f t="shared" ref="K264:K269" si="22">D264</f>
        <v>6539</v>
      </c>
      <c r="L264" s="1573">
        <v>6250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18183</v>
      </c>
      <c r="E266" s="1673"/>
      <c r="F266" s="1673"/>
      <c r="G266" s="1673"/>
      <c r="H266" s="1673"/>
      <c r="I266" s="1673"/>
      <c r="J266" s="1673"/>
      <c r="K266" s="1678">
        <f t="shared" si="22"/>
        <v>18183</v>
      </c>
      <c r="L266" s="1573">
        <v>18500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24722</v>
      </c>
      <c r="E270" s="1673"/>
      <c r="F270" s="1673"/>
      <c r="G270" s="1673"/>
      <c r="H270" s="1673"/>
      <c r="I270" s="1673"/>
      <c r="J270" s="1673"/>
      <c r="K270" s="1674">
        <f>SUM(K263:K269)</f>
        <v>24722</v>
      </c>
      <c r="L270" s="1674">
        <f>SUM(L263:L269)</f>
        <v>24750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43755</v>
      </c>
      <c r="E279" s="1673"/>
      <c r="F279" s="1673"/>
      <c r="G279" s="1673"/>
      <c r="H279" s="1673"/>
      <c r="I279" s="1673"/>
      <c r="J279" s="1673"/>
      <c r="K279" s="1681">
        <f>SUM(K238,K243,K257,K261,K270,K277,K278)</f>
        <v>43755</v>
      </c>
      <c r="L279" s="1681">
        <f>SUM(L238,L243,L257,L261,L270,L277,L278)</f>
        <v>44475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73187</v>
      </c>
      <c r="E295" s="1673"/>
      <c r="F295" s="1673"/>
      <c r="G295" s="1673"/>
      <c r="H295" s="1674">
        <f>H293</f>
        <v>0</v>
      </c>
      <c r="I295" s="1673"/>
      <c r="J295" s="1673"/>
      <c r="K295" s="1674">
        <f>SUM(K229,K279,K280,K285,K293,K294)</f>
        <v>73187</v>
      </c>
      <c r="L295" s="1674">
        <f>SUM(L229,L279,L280,L285,L293,L294)</f>
        <v>73475</v>
      </c>
    </row>
    <row r="296" spans="1:14" ht="13.5" thickTop="1" x14ac:dyDescent="0.2">
      <c r="A296" s="2289" t="s">
        <v>989</v>
      </c>
      <c r="B296" s="2290"/>
      <c r="C296" s="1673"/>
      <c r="D296" s="1675"/>
      <c r="E296" s="1673"/>
      <c r="F296" s="1673"/>
      <c r="G296" s="1673"/>
      <c r="H296" s="1707"/>
      <c r="I296" s="1673"/>
      <c r="J296" s="1673"/>
      <c r="K296" s="1689">
        <f>'Revenues 9-14'!G268-'Expenditures 15-22'!K295</f>
        <v>-32042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73524</v>
      </c>
      <c r="H301" s="1573"/>
      <c r="I301" s="1574"/>
      <c r="J301" s="1574"/>
      <c r="K301" s="1672">
        <f>SUM(C301:J301)</f>
        <v>73524</v>
      </c>
      <c r="L301" s="1574">
        <v>60000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73524</v>
      </c>
      <c r="H303" s="1681">
        <f t="shared" si="23"/>
        <v>0</v>
      </c>
      <c r="I303" s="1681">
        <f t="shared" si="23"/>
        <v>0</v>
      </c>
      <c r="J303" s="1681">
        <f t="shared" si="23"/>
        <v>0</v>
      </c>
      <c r="K303" s="1681">
        <f t="shared" si="23"/>
        <v>73524</v>
      </c>
      <c r="L303" s="1681">
        <f t="shared" si="23"/>
        <v>60000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73524</v>
      </c>
      <c r="H312" s="1674">
        <f>SUM(H303,H310)</f>
        <v>0</v>
      </c>
      <c r="I312" s="1674">
        <f>SUM(I303)</f>
        <v>0</v>
      </c>
      <c r="J312" s="1674">
        <f>SUM(J303)</f>
        <v>0</v>
      </c>
      <c r="K312" s="1674">
        <f>SUM(K303,K310,K311)</f>
        <v>73524</v>
      </c>
      <c r="L312" s="1674">
        <f>SUM(L303,L310,L311)</f>
        <v>60000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67436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15196</v>
      </c>
      <c r="F320" s="1574"/>
      <c r="G320" s="1574"/>
      <c r="H320" s="1574"/>
      <c r="I320" s="1574"/>
      <c r="J320" s="1574"/>
      <c r="K320" s="1672">
        <f t="shared" ref="K320:K327" si="24">SUM(C320:J320)</f>
        <v>15196</v>
      </c>
      <c r="L320" s="1574">
        <v>22500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1500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164464</v>
      </c>
      <c r="D325" s="1574"/>
      <c r="E325" s="1574">
        <v>12217</v>
      </c>
      <c r="F325" s="1574"/>
      <c r="G325" s="1574"/>
      <c r="H325" s="1574"/>
      <c r="I325" s="1574"/>
      <c r="J325" s="1574"/>
      <c r="K325" s="1672">
        <f t="shared" si="24"/>
        <v>176681</v>
      </c>
      <c r="L325" s="1574">
        <v>169000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9018</v>
      </c>
      <c r="F327" s="1574"/>
      <c r="G327" s="1574"/>
      <c r="H327" s="1574"/>
      <c r="I327" s="1574"/>
      <c r="J327" s="1574"/>
      <c r="K327" s="1672">
        <f t="shared" si="24"/>
        <v>9018</v>
      </c>
      <c r="L327" s="1574">
        <v>8000</v>
      </c>
      <c r="M327" s="539"/>
      <c r="N327" s="539"/>
    </row>
    <row r="328" spans="1:14" s="548" customFormat="1" x14ac:dyDescent="0.2">
      <c r="A328" s="1290" t="s">
        <v>469</v>
      </c>
      <c r="B328" s="562" t="s">
        <v>1122</v>
      </c>
      <c r="C328" s="1579"/>
      <c r="D328" s="1579"/>
      <c r="E328" s="1579">
        <v>48501</v>
      </c>
      <c r="F328" s="1579"/>
      <c r="G328" s="1579"/>
      <c r="H328" s="1579"/>
      <c r="I328" s="1579"/>
      <c r="J328" s="1579"/>
      <c r="K328" s="1713">
        <f>SUM(C328:J328)</f>
        <v>48501</v>
      </c>
      <c r="L328" s="1579">
        <v>48000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164464</v>
      </c>
      <c r="D330" s="1674">
        <f t="shared" ref="D330:J330" si="25">SUM(D319:D329)</f>
        <v>0</v>
      </c>
      <c r="E330" s="1674">
        <f t="shared" si="25"/>
        <v>84932</v>
      </c>
      <c r="F330" s="1674">
        <f t="shared" si="25"/>
        <v>0</v>
      </c>
      <c r="G330" s="1674">
        <f t="shared" si="25"/>
        <v>0</v>
      </c>
      <c r="H330" s="1674">
        <f t="shared" si="25"/>
        <v>0</v>
      </c>
      <c r="I330" s="1674">
        <f t="shared" si="25"/>
        <v>0</v>
      </c>
      <c r="J330" s="1674">
        <f t="shared" si="25"/>
        <v>0</v>
      </c>
      <c r="K330" s="1674">
        <f>SUM(K319:K329)</f>
        <v>249396</v>
      </c>
      <c r="L330" s="1674">
        <f>SUM(L319:L329)</f>
        <v>249000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164464</v>
      </c>
      <c r="D342" s="1674">
        <f>SUM(D330)</f>
        <v>0</v>
      </c>
      <c r="E342" s="1674">
        <f>SUM(E330)</f>
        <v>84932</v>
      </c>
      <c r="F342" s="1674">
        <f>SUM(F330)</f>
        <v>0</v>
      </c>
      <c r="G342" s="1674">
        <f>SUM(G330)</f>
        <v>0</v>
      </c>
      <c r="H342" s="1674">
        <f>SUM(H330,H334,H340)</f>
        <v>0</v>
      </c>
      <c r="I342" s="1674">
        <f>SUM(I330)</f>
        <v>0</v>
      </c>
      <c r="J342" s="1674">
        <f>SUM(J330)</f>
        <v>0</v>
      </c>
      <c r="K342" s="1674">
        <f>SUM(K330,K334,K340)</f>
        <v>249396</v>
      </c>
      <c r="L342" s="1681">
        <f>SUM(L330,L334,L340,L341)</f>
        <v>249000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-2826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24000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24000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24000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24000</v>
      </c>
    </row>
    <row r="368" spans="1:14" ht="13.5" thickTop="1" x14ac:dyDescent="0.2">
      <c r="A368" s="2289" t="s">
        <v>989</v>
      </c>
      <c r="B368" s="2290"/>
      <c r="C368" s="1694"/>
      <c r="D368" s="1694"/>
      <c r="E368" s="1677"/>
      <c r="F368" s="1677"/>
      <c r="G368" s="1677"/>
      <c r="H368" s="1677"/>
      <c r="I368" s="1677"/>
      <c r="J368" s="1676"/>
      <c r="K368" s="1672">
        <f>'Revenues 9-14'!K268-'Expenditures 15-22'!K367</f>
        <v>32674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4d435f69-8686-490b-bd6d-b153bf22ab50"/>
    <ds:schemaRef ds:uri="d21dc803-237d-4c68-8692-8d731fd29118"/>
    <ds:schemaRef ds:uri="http://purl.org/dc/dcmitype/"/>
    <ds:schemaRef ds:uri="6ce3111e-7420-4802-b50a-75d4e9a0b980"/>
    <ds:schemaRef ds:uri="http://schemas.microsoft.com/sharepoint/v3"/>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2020-11-09T19:03:07Z</cp:lastPrinted>
  <dcterms:created xsi:type="dcterms:W3CDTF">2003-10-29T19:06:34Z</dcterms:created>
  <dcterms:modified xsi:type="dcterms:W3CDTF">2020-11-17T23:12:53Z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