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90E5E9E-E4C0-487C-A674-6B4E4F7F5720}" xr6:coauthVersionLast="36" xr6:coauthVersionMax="36" xr10:uidLastSave="{00000000-0000-0000-0000-000000000000}"/>
  <bookViews>
    <workbookView xWindow="15240" yWindow="-120" windowWidth="15600" windowHeight="18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7">' SEFA'!$B$1:$M$47</definedName>
    <definedName name="_xlnm.Print_Area" localSheetId="28">' SEFA (2)'!$B$1:$M$54</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16">'Shared Outsourced Services 31'!$A$1:$F$42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8" i="179" l="1"/>
  <c r="F18" i="179"/>
  <c r="C50" i="29" l="1"/>
  <c r="F63" i="29"/>
  <c r="C36" i="29"/>
  <c r="C69" i="5"/>
  <c r="C73" i="5" l="1"/>
  <c r="H79" i="29"/>
  <c r="C19" i="29"/>
  <c r="F5" i="29"/>
  <c r="E5" i="29"/>
  <c r="D5" i="29"/>
  <c r="C5" i="29"/>
  <c r="G5" i="5"/>
  <c r="L33" i="185" l="1"/>
  <c r="F13" i="185"/>
  <c r="I16" i="186" l="1"/>
  <c r="F16" i="186"/>
  <c r="I15" i="185"/>
  <c r="I27" i="185"/>
  <c r="I31" i="185" s="1"/>
  <c r="F27" i="185"/>
  <c r="F31" i="185" s="1"/>
  <c r="F23" i="185"/>
  <c r="I23" i="185"/>
  <c r="I19" i="185"/>
  <c r="F19" i="185"/>
  <c r="F15" i="185"/>
  <c r="L29" i="185"/>
  <c r="F22" i="179"/>
  <c r="F26" i="179" s="1"/>
  <c r="I22" i="179"/>
  <c r="I26" i="179" s="1"/>
  <c r="L24" i="179"/>
  <c r="L14" i="179"/>
  <c r="I35" i="185" l="1"/>
  <c r="F35" i="185"/>
  <c r="F27" i="179"/>
  <c r="I27" i="179"/>
  <c r="G16" i="186"/>
  <c r="L16" i="186" s="1"/>
  <c r="E16" i="186"/>
  <c r="L27" i="186"/>
  <c r="L26" i="186"/>
  <c r="L25" i="186"/>
  <c r="L24" i="186"/>
  <c r="L23" i="186"/>
  <c r="L22" i="186"/>
  <c r="L21" i="186"/>
  <c r="L20" i="186"/>
  <c r="L19" i="186"/>
  <c r="L17" i="186"/>
  <c r="L15" i="186"/>
  <c r="L14" i="186"/>
  <c r="L13" i="186"/>
  <c r="L12" i="186"/>
  <c r="L11" i="186"/>
  <c r="I9" i="186"/>
  <c r="G9" i="186"/>
  <c r="F9" i="186"/>
  <c r="E9" i="186"/>
  <c r="J8" i="186"/>
  <c r="H8" i="186"/>
  <c r="G27" i="185"/>
  <c r="G23" i="185"/>
  <c r="L23" i="185" s="1"/>
  <c r="G19" i="185"/>
  <c r="L19" i="185" s="1"/>
  <c r="G15" i="185"/>
  <c r="L15" i="185" s="1"/>
  <c r="E27" i="185"/>
  <c r="E31" i="185" s="1"/>
  <c r="E23" i="185"/>
  <c r="E19" i="185"/>
  <c r="E15" i="185"/>
  <c r="L24" i="185"/>
  <c r="L25" i="185"/>
  <c r="L26" i="185"/>
  <c r="L22" i="185"/>
  <c r="L21" i="185"/>
  <c r="L20" i="185"/>
  <c r="L18" i="185"/>
  <c r="L17" i="185"/>
  <c r="L16" i="185"/>
  <c r="L14" i="185"/>
  <c r="L13" i="185"/>
  <c r="L12" i="185"/>
  <c r="L11" i="185"/>
  <c r="I9" i="185"/>
  <c r="G9" i="185"/>
  <c r="F9" i="185"/>
  <c r="E9" i="185"/>
  <c r="J8" i="185"/>
  <c r="H8" i="185"/>
  <c r="G27" i="179"/>
  <c r="G26" i="179"/>
  <c r="G22" i="179"/>
  <c r="G18" i="179"/>
  <c r="L13" i="179"/>
  <c r="E27" i="179"/>
  <c r="E26" i="179"/>
  <c r="E22" i="179"/>
  <c r="E18" i="179"/>
  <c r="F18" i="186" l="1"/>
  <c r="I18" i="186"/>
  <c r="L27" i="185"/>
  <c r="G31" i="185"/>
  <c r="L31" i="185" s="1"/>
  <c r="E35" i="185"/>
  <c r="E18" i="186" s="1"/>
  <c r="G35" i="185"/>
  <c r="L35" i="185"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G18" i="186" l="1"/>
  <c r="L18" i="186" s="1"/>
  <c r="L19"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8" i="179" l="1"/>
  <c r="L27" i="179"/>
  <c r="L26" i="179"/>
  <c r="L25" i="179"/>
  <c r="L22" i="179"/>
  <c r="L21" i="179"/>
  <c r="L20" i="179"/>
  <c r="L19" i="179"/>
  <c r="L18" i="179"/>
  <c r="L17" i="179"/>
  <c r="L16" i="179"/>
  <c r="L15"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L22" i="37"/>
  <c r="H15" i="184" l="1"/>
  <c r="H33" i="118"/>
  <c r="D24" i="37"/>
  <c r="B4270" i="106" s="1"/>
  <c r="D4270" i="106" s="1"/>
  <c r="D22" i="37"/>
  <c r="B6289" i="106"/>
  <c r="D6289" i="106" s="1"/>
  <c r="F52" i="34"/>
  <c r="B7831" i="106" s="1"/>
  <c r="D7831" i="106" s="1"/>
  <c r="F68" i="34"/>
  <c r="G35" i="108"/>
  <c r="F34" i="34"/>
  <c r="B7826" i="106" s="1"/>
  <c r="D7826" i="106" s="1"/>
  <c r="F36" i="34"/>
  <c r="B7828" i="106" s="1"/>
  <c r="D7828" i="106" s="1"/>
  <c r="B2836" i="106"/>
  <c r="D2836" i="106" s="1"/>
  <c r="F70" i="34"/>
  <c r="B7047" i="106"/>
  <c r="D7047" i="106" s="1"/>
  <c r="B7078" i="106"/>
  <c r="D7078" i="106" s="1"/>
  <c r="H76" i="4"/>
  <c r="B3298" i="106" s="1"/>
  <c r="D3298" i="106" s="1"/>
  <c r="C352" i="29"/>
  <c r="B3621" i="106" s="1"/>
  <c r="D3621" i="106" s="1"/>
  <c r="C129" i="29"/>
  <c r="B1225" i="106" s="1"/>
  <c r="D1225" i="106" s="1"/>
  <c r="H342" i="29"/>
  <c r="B7221" i="106" s="1"/>
  <c r="D7221" i="106" s="1"/>
  <c r="J129" i="29"/>
  <c r="B7038" i="106" s="1"/>
  <c r="D7038" i="106" s="1"/>
  <c r="J210" i="29"/>
  <c r="B7072" i="106" s="1"/>
  <c r="D7072" i="106" s="1"/>
  <c r="I210" i="29"/>
  <c r="B7071" i="106" s="1"/>
  <c r="D7071" i="106" s="1"/>
  <c r="I129" i="29"/>
  <c r="B7037" i="106" s="1"/>
  <c r="D7037" i="106" s="1"/>
  <c r="H12" i="184"/>
  <c r="B7198" i="106"/>
  <c r="D7198" i="106" s="1"/>
  <c r="E65" i="184"/>
  <c r="N65" i="184" s="1"/>
  <c r="B7162" i="106"/>
  <c r="D7162" i="106" s="1"/>
  <c r="E61" i="184"/>
  <c r="N61" i="184" s="1"/>
  <c r="B7126" i="106"/>
  <c r="D7126" i="106" s="1"/>
  <c r="E57" i="184"/>
  <c r="B7153" i="106"/>
  <c r="D7153" i="106" s="1"/>
  <c r="E60" i="184"/>
  <c r="N60" i="184" s="1"/>
  <c r="B7705" i="106"/>
  <c r="D7705" i="106" s="1"/>
  <c r="E67" i="184"/>
  <c r="N67" i="184" s="1"/>
  <c r="F77" i="4"/>
  <c r="B3255" i="106" s="1"/>
  <c r="D3255" i="106" s="1"/>
  <c r="B7189" i="106"/>
  <c r="D7189" i="106" s="1"/>
  <c r="E64" i="184"/>
  <c r="N64" i="184" s="1"/>
  <c r="D14" i="4"/>
  <c r="B2570" i="106" s="1"/>
  <c r="D2570" i="106" s="1"/>
  <c r="G39" i="108"/>
  <c r="B7696" i="106"/>
  <c r="D7696" i="106" s="1"/>
  <c r="E66" i="184"/>
  <c r="N66" i="184" s="1"/>
  <c r="B7171" i="106"/>
  <c r="D7171" i="106" s="1"/>
  <c r="E62" i="184"/>
  <c r="N62" i="184" s="1"/>
  <c r="B7135" i="106"/>
  <c r="D7135" i="106" s="1"/>
  <c r="E58" i="184"/>
  <c r="N58" i="184" s="1"/>
  <c r="H365" i="29"/>
  <c r="B7242" i="106" s="1"/>
  <c r="D7242" i="106" s="1"/>
  <c r="F56" i="34"/>
  <c r="B7832" i="106" s="1"/>
  <c r="D7832" i="106" s="1"/>
  <c r="D31" i="108"/>
  <c r="E16" i="184"/>
  <c r="H16" i="184" s="1"/>
  <c r="F42" i="34"/>
  <c r="C342" i="29"/>
  <c r="B7216" i="106" s="1"/>
  <c r="D7216" i="106"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367" i="29" l="1"/>
  <c r="B3622" i="106" s="1"/>
  <c r="D3622" i="106" s="1"/>
  <c r="H77" i="4"/>
  <c r="B3299" i="106" s="1"/>
  <c r="D3299" i="106" s="1"/>
  <c r="B4435" i="106"/>
  <c r="D4435" i="106" s="1"/>
  <c r="K77" i="4"/>
  <c r="B3587" i="106" s="1"/>
  <c r="D3587" i="106" s="1"/>
  <c r="B1381" i="106"/>
  <c r="D1381" i="106" s="1"/>
  <c r="C151" i="29"/>
  <c r="B1226" i="106" s="1"/>
  <c r="D1226" i="106" s="1"/>
  <c r="J151" i="29"/>
  <c r="B7052" i="106" s="1"/>
  <c r="D7052" i="106" s="1"/>
  <c r="G170" i="5"/>
  <c r="B5778" i="106" s="1"/>
  <c r="D5778" i="106" s="1"/>
  <c r="N23" i="3"/>
  <c r="B284" i="106" s="1"/>
  <c r="D284" i="106" s="1"/>
  <c r="I151" i="29"/>
  <c r="F59" i="34" s="1"/>
  <c r="B5527" i="106"/>
  <c r="D5527" i="106" s="1"/>
  <c r="F66" i="34"/>
  <c r="F41" i="108"/>
  <c r="G43" i="108" s="1"/>
  <c r="B1328" i="106"/>
  <c r="D1328" i="106" s="1"/>
  <c r="B1266" i="106"/>
  <c r="D1266" i="106" s="1"/>
  <c r="K365" i="29"/>
  <c r="B7243" i="106" s="1"/>
  <c r="D7243" i="106" s="1"/>
  <c r="B6216" i="106"/>
  <c r="D6216" i="106" s="1"/>
  <c r="L114" i="29"/>
  <c r="K342" i="29"/>
  <c r="F13" i="34" s="1"/>
  <c r="B7235" i="106"/>
  <c r="D7235" i="106" s="1"/>
  <c r="J16" i="4"/>
  <c r="B6226" i="106" s="1"/>
  <c r="D6226" i="106" s="1"/>
  <c r="N57" i="184"/>
  <c r="N68" i="184" s="1"/>
  <c r="E68" i="184"/>
  <c r="B7220" i="106"/>
  <c r="D7220" i="106" s="1"/>
  <c r="F75" i="34"/>
  <c r="B7886" i="106" s="1"/>
  <c r="D7886" i="106" s="1"/>
  <c r="B7222" i="106"/>
  <c r="D7222" i="106" s="1"/>
  <c r="F76" i="34"/>
  <c r="B7887" i="106" s="1"/>
  <c r="D7887" i="106" s="1"/>
  <c r="E367" i="29"/>
  <c r="B3636" i="106" s="1"/>
  <c r="D3636" i="106" s="1"/>
  <c r="B3635" i="106"/>
  <c r="D3635" i="106" s="1"/>
  <c r="L16" i="11"/>
  <c r="B2061" i="106" s="1"/>
  <c r="D2061" i="106" s="1"/>
  <c r="H19" i="184"/>
  <c r="L20" i="184" s="1"/>
  <c r="D44" i="36"/>
  <c r="E19"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G6" i="4"/>
  <c r="B2604" i="106" s="1"/>
  <c r="D2604" i="106" s="1"/>
  <c r="K16" i="4"/>
  <c r="B3574" i="106" s="1"/>
  <c r="D3574" i="106" s="1"/>
  <c r="B1145" i="106"/>
  <c r="D1145" i="106" s="1"/>
  <c r="B7224" i="106"/>
  <c r="D7224" i="106" s="1"/>
  <c r="K367" i="29"/>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20" i="4"/>
  <c r="F77" i="34"/>
  <c r="B7834" i="106" s="1"/>
  <c r="D7834" i="106" s="1"/>
  <c r="J19" i="4"/>
  <c r="B6229" i="106" s="1"/>
  <c r="D6229" i="106" s="1"/>
  <c r="F8" i="4"/>
  <c r="B2595" i="106" s="1"/>
  <c r="D2595" i="106"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82" i="4"/>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<sst xmlns="http://schemas.openxmlformats.org/spreadsheetml/2006/main" count="5328" uniqueCount="2147">
  <si>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</si>
  <si>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</si>
  <si>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</si>
  <si>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</si>
  <si>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</si>
  <si>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</si>
  <si>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</si>
  <si>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</si>
  <si>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</si>
  <si>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</si>
  <si>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</si>
  <si>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</si>
  <si>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</si>
  <si>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</si>
  <si>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</si>
  <si>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</si>
  <si>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</si>
  <si>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</si>
  <si>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</si>
  <si>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</si>
  <si>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</si>
  <si>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</si>
  <si>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</si>
  <si>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</si>
  <si>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</si>
  <si>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</si>
  <si>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</si>
  <si>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</si>
  <si>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</si>
  <si>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</si>
  <si>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</si>
  <si>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</si>
  <si>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</si>
  <si>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</si>
  <si>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</si>
  <si>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</si>
  <si>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</si>
  <si>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</si>
  <si>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</si>
  <si>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</si>
  <si>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</si>
  <si>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</si>
  <si>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</si>
  <si>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</si>
  <si>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</si>
  <si>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</si>
  <si>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</si>
  <si>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</si>
  <si>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</si>
  <si>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</si>
  <si>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</si>
  <si>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</si>
  <si>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</si>
  <si>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</si>
  <si>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</si>
  <si>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</si>
  <si>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</si>
  <si>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</si>
  <si>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</si>
  <si>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</si>
  <si>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</si>
  <si>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</si>
  <si>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</si>
  <si>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</si>
  <si>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</si>
  <si>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</si>
  <si>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</si>
  <si>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</si>
  <si>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</si>
  <si>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</si>
  <si>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</si>
  <si>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</si>
  <si>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</si>
  <si>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</si>
  <si>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</si>
  <si>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</si>
  <si>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</si>
  <si>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</si>
  <si>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</si>
  <si>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</si>
  <si>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</si>
  <si>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</si>
  <si>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</si>
  <si>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</si>
  <si>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</si>
  <si>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</si>
  <si>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</si>
  <si>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</si>
  <si>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</si>
  <si>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</si>
  <si>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</si>
  <si>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</si>
  <si>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</si>
  <si>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</si>
  <si>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</si>
  <si>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</si>
  <si>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</si>
  <si>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</si>
  <si>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</si>
  <si>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</si>
  <si>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</si>
  <si>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</si>
  <si>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</si>
  <si>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</si>
  <si>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</si>
  <si>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</si>
  <si>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</si>
  <si>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</si>
  <si>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</si>
  <si>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</si>
  <si>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</si>
  <si>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</si>
  <si>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</si>
  <si>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</si>
  <si>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</si>
  <si>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</si>
  <si>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</si>
  <si>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</si>
  <si>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</si>
  <si>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</si>
  <si>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</si>
  <si>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</si>
  <si>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</si>
  <si>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</si>
  <si>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</si>
  <si>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</si>
  <si>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</si>
  <si>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</si>
  <si>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</si>
  <si>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</si>
  <si>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</si>
  <si>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</si>
  <si>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</si>
  <si>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</si>
  <si>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</si>
  <si>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</si>
  <si>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</si>
  <si>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</si>
  <si>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</si>
  <si>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</si>
  <si>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</si>
  <si>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</si>
  <si>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</si>
  <si>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</si>
  <si>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</si>
  <si>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</si>
  <si>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</si>
  <si>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</si>
  <si>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</si>
  <si>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</si>
  <si>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</si>
  <si>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</si>
  <si>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</si>
  <si>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</si>
  <si>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</si>
  <si>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</si>
  <si>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</si>
  <si>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</si>
  <si>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</si>
  <si>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</si>
  <si>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</si>
  <si>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</si>
  <si>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</si>
  <si>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</si>
  <si>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</si>
  <si>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</si>
  <si>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</si>
  <si>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</si>
  <si>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</si>
  <si>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</si>
  <si>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</si>
  <si>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</si>
  <si>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</si>
  <si>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</si>
  <si>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</si>
  <si>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</si>
  <si>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</si>
  <si>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</si>
  <si>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</si>
  <si>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</si>
  <si>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</si>
  <si>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</si>
  <si>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</si>
  <si>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</si>
  <si>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</si>
  <si>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</si>
  <si>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</si>
  <si>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</si>
  <si>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</si>
  <si>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</si>
  <si>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</si>
  <si>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</si>
  <si>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</si>
  <si>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</si>
  <si>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</si>
  <si>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</si>
  <si>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</si>
  <si>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</si>
  <si>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</si>
  <si>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</si>
  <si>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</si>
  <si>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</si>
  <si>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</si>
  <si>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</si>
  <si>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</si>
  <si>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</si>
  <si>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</si>
  <si>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</si>
  <si>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</si>
  <si>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</si>
  <si>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</si>
  <si>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</si>
  <si>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</si>
  <si>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</si>
  <si>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</si>
  <si>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</si>
  <si>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</si>
  <si>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</si>
  <si>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</si>
  <si>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</si>
  <si>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</si>
  <si>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</si>
  <si>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</si>
  <si>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</si>
  <si>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</si>
  <si>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</si>
  <si>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</si>
  <si>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</si>
  <si>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</si>
  <si>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</si>
  <si>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</si>
  <si>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</si>
  <si>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</si>
  <si>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</si>
  <si>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</si>
  <si>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</si>
  <si>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</si>
  <si>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</si>
  <si>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</si>
  <si>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</si>
  <si>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</si>
  <si>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</si>
  <si>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</si>
  <si>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</si>
  <si>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</si>
  <si>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</si>
  <si>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</si>
  <si>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</si>
  <si>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</si>
  <si>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</si>
  <si>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</si>
  <si>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</si>
  <si>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</si>
  <si>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</si>
  <si>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</si>
  <si>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</si>
  <si>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</si>
  <si>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</si>
  <si>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</si>
  <si>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</si>
  <si>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</si>
  <si>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</si>
  <si>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</si>
  <si>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</si>
  <si>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</si>
  <si>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</si>
  <si>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</si>
  <si>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</si>
  <si>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</si>
  <si>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</si>
  <si>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</si>
  <si>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</si>
  <si>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</si>
  <si>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</si>
  <si>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</si>
  <si>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</si>
  <si>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</si>
  <si>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</si>
  <si>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</si>
  <si>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</si>
  <si>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</si>
  <si>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</si>
  <si>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</si>
  <si>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</si>
  <si>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</si>
  <si>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</si>
  <si>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</si>
  <si>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</si>
  <si>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</si>
  <si>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</si>
  <si>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</si>
  <si>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</si>
  <si>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</si>
  <si>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</si>
  <si>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</si>
  <si>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</si>
  <si>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</si>
  <si>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</si>
  <si>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</si>
  <si>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</si>
  <si>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</si>
  <si>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</si>
  <si>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</si>
  <si>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</si>
  <si>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</si>
  <si>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</si>
  <si>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</si>
  <si>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</si>
  <si>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</si>
  <si>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</si>
  <si>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</si>
  <si>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</si>
  <si>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</si>
  <si>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</si>
  <si>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</si>
  <si>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</si>
  <si>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</si>
  <si>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</si>
  <si>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</si>
  <si>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</si>
  <si>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</si>
  <si>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</si>
  <si>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</si>
  <si>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</si>
  <si>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</si>
  <si>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</si>
  <si>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</si>
  <si>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</si>
  <si>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</si>
  <si>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</si>
  <si>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</si>
  <si>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</si>
  <si>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</si>
  <si>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</si>
  <si>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</si>
  <si>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</si>
  <si>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</si>
  <si>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</si>
  <si>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</si>
  <si>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</si>
  <si>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</si>
  <si>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</si>
  <si>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</si>
  <si>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</si>
  <si>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</si>
  <si>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</si>
  <si>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</si>
  <si>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</si>
  <si>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</si>
  <si>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</si>
  <si>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</si>
  <si>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</si>
  <si>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</si>
  <si>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</si>
  <si>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</si>
  <si>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</si>
  <si>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</si>
  <si>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</si>
  <si>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</si>
  <si>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</si>
  <si>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</si>
  <si>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</si>
  <si>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</si>
  <si>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</si>
  <si>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</si>
  <si>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</si>
  <si>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</si>
  <si>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</si>
  <si>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</si>
  <si>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</si>
  <si>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</si>
  <si>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</si>
  <si>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</si>
  <si>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</si>
  <si>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</si>
  <si>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</si>
  <si>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</si>
  <si>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</si>
  <si>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</si>
  <si>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</si>
  <si>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</si>
  <si>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</si>
  <si>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</si>
  <si>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</si>
  <si>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</si>
  <si>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</si>
  <si>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</si>
  <si>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</si>
  <si>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</si>
  <si>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</si>
  <si>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</si>
  <si>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</si>
  <si>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</si>
  <si>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</si>
  <si>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</si>
  <si>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</si>
  <si>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</si>
  <si>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</si>
  <si>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</si>
  <si>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</si>
  <si>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</si>
  <si>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</si>
  <si>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</si>
  <si>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</si>
  <si>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</si>
  <si>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</si>
  <si>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</si>
  <si>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</si>
  <si>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</si>
  <si>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</si>
  <si>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</si>
  <si>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</si>
  <si>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</si>
  <si>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</si>
  <si>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</si>
  <si>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</si>
  <si>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</si>
  <si>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</si>
  <si>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</si>
  <si>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</si>
  <si>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</si>
  <si>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</si>
  <si>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</si>
  <si>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</si>
  <si>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</si>
  <si>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</si>
  <si>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</si>
  <si>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</si>
  <si>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</si>
  <si>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</si>
  <si>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</si>
  <si>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</si>
  <si>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</si>
  <si>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</si>
  <si>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</si>
  <si>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</si>
  <si>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</si>
  <si>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</si>
  <si>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</si>
  <si>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</si>
  <si>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</si>
  <si>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</si>
  <si>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</si>
  <si>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</si>
  <si>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</si>
  <si>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</si>
  <si>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</si>
  <si>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</si>
  <si>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</si>
  <si>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</si>
  <si>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</si>
  <si>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</si>
  <si>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</si>
  <si>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</si>
  <si>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</si>
  <si>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</si>
  <si>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</si>
  <si>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</si>
  <si>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</si>
  <si>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</si>
  <si>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</si>
  <si>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</si>
  <si>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</si>
  <si>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</si>
  <si>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</si>
  <si>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</si>
  <si>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</si>
  <si>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</si>
  <si>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</si>
  <si>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</si>
  <si>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</si>
  <si>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</si>
  <si>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</si>
  <si>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</si>
  <si>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</si>
  <si>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</si>
  <si>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</si>
  <si>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</si>
  <si>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</si>
  <si>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</si>
  <si>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</si>
  <si>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</si>
  <si>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</si>
  <si>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</si>
  <si>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</si>
  <si>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</si>
  <si>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</si>
  <si>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</si>
  <si>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</si>
  <si>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</si>
  <si>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</si>
  <si>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</si>
  <si>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</si>
  <si>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</si>
  <si>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</si>
  <si>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</si>
  <si>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</si>
  <si>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</si>
  <si>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</si>
  <si>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</si>
  <si>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</si>
  <si>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</si>
  <si>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</si>
  <si>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</si>
  <si>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</si>
  <si>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</si>
  <si>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</si>
  <si>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</si>
  <si>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</si>
  <si>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</si>
  <si>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</si>
  <si>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</si>
  <si>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</si>
  <si>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</si>
  <si>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</si>
  <si>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</si>
  <si>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</si>
  <si>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</si>
  <si>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</si>
  <si>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</si>
  <si>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</si>
  <si>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</si>
  <si>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</si>
  <si>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</si>
  <si>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</si>
  <si>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</si>
  <si>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</si>
  <si>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</si>
  <si>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</si>
  <si>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</si>
  <si>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</si>
  <si>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</si>
  <si>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</si>
  <si>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</si>
  <si>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</si>
  <si>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</si>
  <si>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</si>
  <si>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</si>
  <si>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</si>
  <si>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</si>
  <si>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</si>
  <si>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</si>
  <si>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</si>
  <si>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</si>
  <si>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</si>
  <si>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</si>
  <si>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</si>
  <si>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</si>
  <si>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</si>
  <si>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</si>
  <si>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</si>
  <si>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</si>
  <si>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</si>
  <si>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</si>
  <si>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</si>
  <si>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</si>
  <si>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</si>
  <si>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</si>
  <si>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</si>
  <si>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</si>
  <si>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</si>
  <si>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</si>
  <si>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</si>
  <si>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</si>
  <si>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</si>
  <si>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</si>
  <si>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</si>
  <si>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</si>
  <si>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</si>
  <si>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</si>
  <si>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</si>
  <si>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</si>
  <si>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</si>
  <si>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</si>
  <si>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</si>
  <si>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</si>
  <si>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</si>
  <si>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</si>
  <si>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</si>
  <si>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</si>
  <si>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</si>
  <si>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</si>
  <si>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</si>
  <si>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</si>
  <si>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</si>
  <si>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</si>
  <si>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</si>
  <si>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</si>
  <si>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</si>
  <si>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</si>
  <si>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</si>
  <si>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</si>
  <si>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</si>
  <si>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</si>
  <si>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</si>
  <si>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</si>
  <si>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</si>
  <si>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</si>
  <si>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</si>
  <si>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</si>
  <si>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</si>
  <si>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</si>
  <si>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</si>
  <si>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</si>
  <si>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</si>
  <si>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</si>
  <si>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</si>
  <si>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</si>
  <si>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</si>
  <si>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</si>
  <si>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</si>
  <si>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</si>
  <si>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</si>
  <si>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</si>
  <si>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</si>
  <si>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</si>
  <si>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</si>
  <si>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</si>
  <si>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</si>
  <si>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</si>
  <si>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</si>
  <si>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</si>
  <si>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</si>
  <si>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</si>
  <si>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</si>
  <si>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</si>
  <si>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</si>
  <si>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</si>
  <si>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</si>
  <si>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</si>
  <si>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</si>
  <si>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</si>
  <si>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</si>
  <si>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</si>
  <si>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</si>
  <si>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</si>
  <si>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</si>
  <si>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</si>
  <si>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</si>
  <si>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</si>
  <si>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</si>
  <si>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</si>
  <si>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</si>
  <si>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</si>
  <si>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</si>
  <si>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</si>
  <si>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</si>
  <si>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</si>
  <si>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</si>
  <si>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</si>
  <si>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</si>
  <si>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</si>
  <si>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</si>
  <si>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</si>
  <si>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</si>
  <si>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</si>
  <si>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</si>
  <si>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</si>
  <si>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</si>
  <si>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</si>
  <si>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</si>
  <si>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</si>
  <si>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</si>
  <si>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</si>
  <si>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</si>
  <si>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</si>
  <si>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</si>
  <si>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</si>
  <si>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</si>
  <si>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</si>
  <si>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</si>
  <si>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</si>
  <si>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</si>
  <si>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</si>
  <si>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</si>
  <si>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</si>
  <si>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</si>
  <si>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</si>
  <si>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</si>
  <si>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</si>
  <si>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</si>
  <si>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</si>
  <si>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</si>
  <si>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</si>
  <si>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</si>
  <si>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</si>
  <si>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</si>
  <si>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</si>
  <si>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</si>
  <si>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</si>
  <si>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</si>
  <si>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</si>
  <si>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</si>
  <si>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</si>
  <si>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</si>
  <si>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</si>
  <si>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</si>
  <si>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</si>
  <si>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</si>
  <si>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</si>
  <si>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</si>
  <si>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</si>
  <si>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</si>
  <si>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</si>
  <si>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</si>
  <si>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</si>
  <si>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</si>
  <si>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</si>
  <si>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</si>
  <si>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</si>
  <si>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</si>
  <si>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</si>
  <si>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</si>
  <si>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</si>
  <si>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</si>
  <si>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</si>
  <si>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</si>
  <si>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</si>
  <si>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</si>
  <si>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</si>
  <si>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</si>
  <si>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</si>
  <si>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</si>
  <si>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</si>
  <si>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</si>
  <si>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</si>
  <si>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</si>
  <si>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</si>
  <si>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</si>
  <si>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</si>
  <si>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</si>
  <si>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</si>
  <si>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</si>
  <si>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</si>
  <si>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</si>
  <si>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</si>
  <si>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</si>
  <si>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</si>
  <si>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</si>
  <si>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</si>
  <si>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</si>
  <si>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</si>
  <si>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</si>
  <si>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</si>
  <si>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</si>
  <si>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</si>
  <si>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</si>
  <si>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</si>
  <si>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</si>
  <si>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</si>
  <si>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</si>
  <si>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</si>
  <si>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</si>
  <si>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</si>
  <si>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</si>
  <si>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</si>
  <si>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</si>
  <si>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</si>
  <si>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</si>
  <si>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</si>
  <si>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</si>
  <si>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</si>
  <si>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</si>
  <si>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</si>
  <si>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</si>
  <si>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</si>
  <si>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</si>
  <si>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</si>
  <si>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</si>
  <si>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</si>
  <si>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</si>
  <si>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</si>
  <si>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</si>
  <si>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</si>
  <si>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</si>
  <si>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</si>
  <si>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</si>
  <si>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</si>
  <si>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</si>
  <si>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</si>
  <si>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</si>
  <si>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</si>
  <si>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</si>
  <si>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</si>
  <si>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</si>
  <si>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</si>
  <si>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</si>
  <si>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</si>
  <si>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</si>
  <si>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</si>
  <si>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</si>
  <si>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</si>
  <si>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</si>
  <si>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</si>
  <si>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</si>
  <si>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</si>
  <si>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</si>
  <si>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</si>
  <si>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</si>
  <si>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</si>
  <si>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</si>
  <si>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</si>
  <si>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</si>
  <si>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</si>
  <si>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</si>
  <si>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</si>
  <si>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</si>
  <si>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</si>
  <si>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</si>
  <si>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</si>
  <si>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</si>
  <si>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</si>
  <si>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</si>
  <si>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</si>
  <si>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</si>
  <si>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</si>
  <si>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</si>
  <si>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</si>
  <si>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</si>
  <si>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</si>
  <si>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</si>
  <si>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</si>
  <si>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</si>
  <si>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</si>
  <si>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</si>
  <si>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</si>
  <si>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</si>
  <si>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</si>
  <si>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</si>
  <si>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</si>
  <si>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</si>
  <si>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</si>
  <si>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</si>
  <si>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</si>
  <si>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</si>
  <si>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</si>
  <si>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</si>
  <si>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</si>
  <si>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</si>
  <si>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</si>
  <si>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</si>
  <si>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</si>
  <si>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</si>
  <si>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</si>
  <si>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</si>
  <si>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</si>
  <si>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</si>
  <si>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</si>
  <si>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</si>
  <si>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</si>
  <si>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</si>
  <si>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</si>
  <si>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</si>
  <si>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</si>
  <si>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</si>
  <si>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</si>
  <si>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</si>
  <si>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</si>
  <si>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</si>
  <si>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</si>
  <si>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</si>
  <si>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</si>
  <si>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</si>
  <si>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</si>
  <si>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</si>
  <si>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</si>
  <si>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</si>
  <si>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</si>
  <si>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</si>
  <si>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</si>
  <si>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</si>
  <si>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</si>
  <si>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</si>
  <si>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</si>
  <si>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</si>
  <si>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</si>
  <si>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</si>
  <si>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</si>
  <si>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</si>
  <si>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</si>
  <si>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</si>
  <si>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</si>
  <si>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</si>
  <si>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</si>
  <si>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</si>
  <si>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</si>
  <si>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</si>
  <si>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</si>
  <si>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</si>
  <si>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</si>
  <si>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</si>
  <si>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</si>
  <si>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</si>
  <si>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</si>
  <si>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</si>
  <si>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</si>
  <si>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</si>
  <si>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</si>
  <si>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</si>
  <si>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</si>
  <si>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</si>
  <si>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</si>
  <si>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</si>
  <si>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</si>
  <si>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</si>
  <si>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</si>
  <si>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</si>
  <si>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</si>
  <si>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</si>
  <si>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</si>
  <si>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</si>
  <si>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</si>
  <si>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</si>
  <si>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</si>
  <si>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</si>
  <si>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</si>
  <si>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</si>
  <si>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</si>
  <si>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</si>
  <si>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</si>
  <si>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</si>
  <si>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</si>
  <si>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</si>
  <si>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</si>
  <si>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</si>
  <si>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</si>
  <si>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</si>
  <si>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</si>
  <si>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</si>
  <si>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</si>
  <si>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</si>
  <si>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</si>
  <si>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</si>
  <si>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</si>
  <si>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</si>
  <si>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</si>
  <si>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</si>
  <si>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</si>
  <si>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</si>
  <si>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</si>
  <si>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</si>
  <si>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</si>
  <si>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</si>
  <si>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</si>
  <si>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</si>
  <si>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</si>
  <si>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</si>
  <si>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</si>
  <si>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</si>
  <si>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</si>
  <si>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</si>
  <si>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</si>
  <si>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</si>
  <si>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</si>
  <si>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</si>
  <si>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</si>
  <si>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</si>
  <si>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</si>
  <si>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</si>
  <si>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</si>
  <si>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</si>
  <si>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</si>
  <si>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</si>
  <si>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</si>
  <si>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</si>
  <si>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</si>
  <si>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</si>
  <si>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</si>
  <si>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</si>
  <si>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</si>
  <si>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</si>
  <si>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</si>
  <si>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</si>
  <si>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</si>
  <si>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</si>
  <si>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</si>
  <si>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</si>
  <si>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</si>
  <si>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</si>
  <si>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</si>
  <si>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</si>
  <si>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</si>
  <si>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</si>
  <si>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</si>
  <si>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</si>
  <si>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</si>
  <si>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</si>
  <si>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</si>
  <si>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</si>
  <si>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</si>
  <si>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</si>
  <si>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</si>
  <si>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</si>
  <si>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</si>
  <si>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</si>
  <si>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</si>
  <si>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</si>
  <si>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</si>
  <si>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</si>
  <si>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</si>
  <si>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</si>
  <si>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</si>
  <si>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</si>
  <si>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</si>
  <si>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</si>
  <si>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</si>
  <si>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</si>
  <si>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</si>
  <si>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</si>
  <si>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</si>
  <si>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</si>
  <si>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</si>
  <si>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</si>
  <si>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</si>
  <si>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</si>
  <si>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</si>
  <si>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</si>
  <si>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</si>
  <si>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</si>
  <si>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</si>
  <si>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</si>
  <si>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</si>
  <si>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</si>
  <si>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</si>
  <si>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</si>
  <si>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</si>
  <si>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</si>
  <si>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</si>
  <si>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</si>
  <si>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</si>
  <si>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</si>
  <si>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</si>
  <si>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</si>
  <si>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</si>
  <si>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</si>
  <si>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</si>
  <si>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</si>
  <si>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</si>
  <si>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</si>
  <si>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</si>
  <si>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</si>
  <si>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</si>
  <si>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</si>
  <si>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</si>
  <si>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</si>
  <si>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</si>
  <si>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</si>
  <si>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</si>
  <si>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</si>
  <si>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</si>
  <si>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</si>
  <si>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</si>
  <si>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</si>
  <si>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</si>
  <si>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</si>
  <si>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</si>
  <si>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</si>
  <si>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</si>
  <si>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</si>
  <si>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</si>
  <si>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</si>
  <si>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</si>
  <si>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</si>
  <si>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</si>
  <si>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</si>
  <si>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</si>
  <si>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</si>
  <si>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</si>
  <si>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</si>
  <si>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</si>
  <si>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</si>
  <si>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</si>
  <si>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</si>
  <si>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</si>
  <si>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</si>
  <si>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</si>
  <si>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</si>
  <si>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</si>
  <si>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</si>
  <si>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</si>
  <si>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</si>
  <si>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</si>
  <si>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</si>
  <si>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</si>
  <si>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</si>
  <si>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</si>
  <si>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</si>
  <si>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</si>
  <si>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</si>
  <si>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</si>
  <si>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</si>
  <si>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</si>
  <si>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</si>
  <si>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</si>
  <si>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</si>
  <si>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</si>
  <si>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</si>
  <si>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</si>
  <si>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</si>
  <si>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</si>
  <si>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</si>
  <si>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</si>
  <si>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</si>
  <si>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</si>
  <si>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</si>
  <si>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</si>
  <si>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</si>
  <si>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</si>
  <si>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</si>
  <si>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</si>
  <si>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</si>
  <si>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</si>
  <si>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</si>
  <si>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</si>
  <si>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</si>
  <si>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</si>
  <si>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</si>
  <si>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</si>
  <si>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</si>
  <si>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</si>
  <si>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</si>
  <si>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</si>
  <si>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</si>
  <si>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</si>
  <si>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</si>
  <si>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</si>
  <si>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</si>
  <si>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</si>
  <si>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</si>
  <si>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</si>
  <si>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</si>
  <si>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</si>
  <si>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</si>
  <si>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</si>
  <si>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</si>
  <si>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</si>
  <si>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</si>
  <si>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</si>
  <si>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</si>
  <si>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</si>
  <si>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</si>
  <si>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</si>
  <si>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</si>
  <si>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</si>
  <si>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</si>
  <si>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</si>
  <si>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</si>
  <si>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</si>
  <si>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</si>
  <si>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</si>
  <si>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</si>
  <si>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</si>
  <si>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</si>
  <si>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</si>
  <si>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</si>
  <si>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</si>
  <si>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</si>
  <si>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</si>
  <si>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</si>
  <si>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</si>
  <si>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</si>
  <si>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</si>
  <si>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</si>
  <si>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</si>
  <si>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</si>
  <si>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</si>
  <si>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</si>
  <si>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</si>
  <si>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</si>
  <si>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</si>
  <si>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</si>
  <si>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</si>
  <si>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</si>
  <si>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</si>
  <si>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</si>
  <si>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</si>
  <si>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</si>
  <si>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</si>
  <si>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</si>
  <si>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</si>
  <si>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</si>
  <si>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</si>
  <si>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</si>
  <si>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</si>
  <si>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</si>
  <si>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</si>
  <si>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</si>
  <si>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</si>
  <si>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</si>
  <si>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</si>
  <si>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</si>
  <si>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</si>
  <si>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</si>
  <si>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</si>
  <si>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</si>
  <si>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</si>
  <si>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</si>
  <si>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</si>
  <si>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</si>
  <si>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</si>
  <si>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</si>
  <si>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</si>
  <si>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</si>
  <si>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</si>
  <si>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</si>
  <si>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</si>
  <si>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</si>
  <si>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</si>
  <si>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</si>
  <si>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</si>
  <si>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</si>
  <si>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</si>
  <si>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</si>
  <si>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</si>
  <si>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</si>
  <si>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</si>
  <si>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</si>
  <si>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</si>
  <si>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</si>
  <si>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</si>
  <si>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</si>
  <si>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</si>
  <si>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</si>
  <si>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</si>
  <si>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</si>
  <si>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</si>
  <si>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</si>
  <si>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</si>
  <si>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</si>
  <si>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</si>
  <si>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</si>
  <si>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</si>
  <si>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</si>
  <si>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</si>
  <si>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</si>
  <si>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</si>
  <si>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</si>
  <si>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</si>
  <si>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</si>
  <si>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</si>
  <si>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</si>
  <si>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</si>
  <si>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</si>
  <si>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</si>
  <si>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</si>
  <si>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</si>
  <si>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</si>
  <si>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</si>
  <si>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</si>
  <si>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</si>
  <si>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</si>
  <si>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</si>
  <si>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</si>
  <si>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</si>
  <si>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</si>
  <si>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</si>
  <si>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</si>
  <si>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</si>
  <si>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</si>
  <si>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</si>
  <si>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</si>
  <si>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</si>
  <si>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</si>
  <si>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</si>
  <si>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</si>
  <si>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</si>
  <si>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</si>
  <si>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</si>
  <si>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</si>
  <si>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</si>
  <si>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</si>
  <si>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</si>
  <si>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</si>
  <si>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</si>
  <si>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</si>
  <si>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</si>
  <si>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</si>
  <si>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</si>
  <si>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</si>
  <si>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</si>
  <si>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</si>
  <si>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</si>
  <si>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</si>
  <si>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</si>
  <si>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</si>
  <si>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</si>
  <si>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</si>
  <si>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</si>
  <si>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</si>
  <si>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</si>
  <si>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</si>
  <si>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</si>
  <si>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</si>
  <si>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</si>
  <si>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</si>
  <si>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</si>
  <si>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</si>
  <si>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</si>
  <si>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</si>
  <si>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</si>
  <si>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</si>
  <si>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</si>
  <si>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</si>
  <si>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</si>
  <si>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</si>
  <si>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</si>
  <si>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</si>
  <si>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</si>
  <si>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</si>
  <si>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</si>
  <si>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</si>
  <si>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</si>
  <si>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</si>
  <si>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</si>
  <si>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</si>
  <si>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</si>
  <si>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</si>
  <si>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</si>
  <si>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</si>
  <si>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</si>
  <si>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</si>
  <si>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</si>
  <si>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</si>
  <si>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</si>
  <si>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</si>
  <si>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</si>
  <si>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</si>
  <si>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</si>
  <si>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</si>
  <si>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</si>
  <si>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</si>
  <si>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</si>
  <si>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</si>
  <si>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</si>
  <si>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</si>
  <si>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</si>
  <si>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</si>
  <si>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</si>
  <si>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</si>
  <si>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</si>
  <si>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</si>
  <si>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</si>
  <si>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</si>
  <si>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</si>
  <si>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</si>
  <si>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</si>
  <si>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</si>
  <si>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</si>
  <si>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</si>
  <si>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</si>
  <si>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</si>
  <si>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</si>
  <si>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</si>
  <si>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</si>
  <si>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</si>
  <si>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</si>
  <si>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</si>
  <si>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</si>
  <si>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</si>
  <si>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</si>
  <si>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</si>
  <si>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</si>
  <si>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</si>
  <si>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</si>
  <si>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</si>
  <si>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</si>
  <si>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</si>
  <si>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</si>
  <si>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</si>
  <si>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</si>
  <si>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</si>
  <si>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</si>
  <si>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</si>
  <si>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</si>
  <si>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</si>
  <si>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</si>
  <si>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</si>
  <si>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</si>
  <si>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</si>
  <si>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</si>
  <si>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</si>
  <si>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</si>
  <si>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</si>
  <si>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</si>
  <si>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</si>
  <si>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</si>
  <si>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</si>
  <si>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</si>
  <si>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</si>
  <si>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</si>
  <si>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</si>
  <si>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</si>
  <si>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</si>
  <si>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</si>
  <si>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</si>
  <si>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</si>
  <si>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</si>
  <si>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</si>
  <si>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</si>
  <si>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</si>
  <si>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</si>
  <si>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</si>
  <si>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</si>
  <si>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</si>
  <si>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</si>
  <si>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</si>
  <si>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</si>
  <si>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</si>
  <si>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</si>
  <si>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</si>
  <si>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</si>
  <si>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</si>
  <si>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</si>
  <si>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</si>
  <si>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</si>
  <si>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</si>
  <si>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</si>
  <si>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</si>
  <si>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</si>
  <si>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</si>
  <si>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</si>
  <si>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</si>
  <si>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</si>
  <si>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</si>
  <si>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</si>
  <si>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</si>
  <si>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</si>
  <si>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</si>
  <si>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</si>
  <si>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</si>
  <si>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</si>
  <si>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</si>
  <si>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</si>
  <si>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</si>
  <si>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</si>
  <si>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</si>
  <si>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</si>
  <si>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</si>
  <si>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</si>
  <si>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</si>
  <si>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</si>
  <si>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</si>
  <si>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</si>
  <si>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</si>
  <si>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</si>
  <si>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</si>
  <si>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</si>
  <si>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</si>
  <si>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</si>
  <si>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</si>
  <si>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</si>
  <si>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</si>
  <si>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</si>
  <si>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</si>
  <si>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</si>
  <si>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</si>
  <si>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</si>
  <si>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</si>
  <si>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</si>
  <si>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</si>
  <si>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</si>
  <si>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</si>
  <si>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</si>
  <si>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</si>
  <si>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</si>
  <si>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</si>
  <si>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</si>
  <si>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</si>
  <si>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</si>
  <si>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</si>
  <si>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</si>
  <si>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</si>
  <si>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</si>
  <si>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</si>
  <si>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</si>
  <si>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</si>
  <si>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</si>
  <si>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</si>
  <si>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</si>
  <si>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</si>
  <si>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</si>
  <si>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</si>
  <si>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</si>
  <si>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</si>
  <si>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</si>
  <si>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</si>
  <si>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</si>
  <si>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</si>
  <si>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</si>
  <si>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</si>
  <si>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</si>
  <si>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</si>
  <si>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</si>
  <si>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</si>
  <si>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</si>
  <si>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</si>
  <si>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</si>
  <si>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</si>
  <si>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</si>
  <si>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</si>
  <si>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</si>
  <si>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</si>
  <si>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</si>
  <si>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</si>
  <si>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</si>
  <si>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</si>
  <si>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</si>
  <si>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</si>
  <si>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</si>
  <si>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</si>
  <si>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</si>
  <si>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</si>
  <si>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</si>
  <si>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</si>
  <si>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</si>
  <si>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</si>
  <si>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</si>
  <si>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</si>
  <si>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</si>
  <si>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</si>
  <si>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</si>
  <si>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</si>
  <si>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</si>
  <si>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</si>
  <si>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</si>
  <si>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</si>
  <si>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</si>
  <si>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</si>
  <si>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</si>
  <si>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</si>
  <si>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</si>
  <si>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</si>
  <si>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</si>
  <si>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</si>
  <si>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</si>
  <si>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</si>
  <si>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</si>
  <si>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</si>
  <si>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</si>
  <si>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</si>
  <si>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</si>
  <si>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</si>
  <si>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</si>
  <si>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</si>
  <si>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</si>
  <si>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</si>
  <si>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</si>
  <si>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</si>
  <si>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</si>
  <si>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</si>
  <si>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</si>
  <si>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</si>
  <si>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</si>
  <si>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</si>
  <si>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</si>
  <si>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</si>
  <si>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</si>
  <si>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</si>
  <si>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</si>
  <si>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</si>
  <si>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</si>
  <si>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</si>
  <si>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</si>
  <si>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</si>
  <si>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</si>
  <si>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</si>
  <si>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</si>
  <si>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</si>
  <si>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</si>
  <si>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</si>
  <si>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</si>
  <si>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</si>
  <si>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</si>
  <si>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</si>
  <si>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</si>
  <si>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</si>
  <si>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</si>
  <si>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</si>
  <si>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</si>
  <si>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</si>
  <si>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</si>
  <si>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</si>
  <si>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</si>
  <si>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</si>
  <si>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</si>
  <si>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</si>
  <si>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</si>
  <si>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</si>
  <si>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</si>
  <si>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</si>
  <si>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</si>
  <si>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</si>
  <si>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</si>
  <si>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</si>
  <si>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</si>
  <si>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</si>
  <si>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</si>
  <si>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</si>
  <si>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</si>
  <si>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</si>
  <si>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</si>
  <si>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</si>
  <si>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</si>
  <si>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</si>
  <si>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</si>
  <si>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</si>
  <si>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</si>
  <si>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</si>
  <si>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</si>
  <si>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</si>
  <si>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</si>
  <si>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</si>
  <si>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</si>
  <si>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</si>
  <si>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</si>
  <si>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</si>
  <si>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</si>
  <si>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</si>
  <si>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</si>
  <si>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</si>
  <si>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</si>
  <si>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</si>
  <si>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</si>
  <si>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</si>
  <si>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</si>
  <si>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</si>
  <si>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</si>
  <si>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</si>
  <si>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</si>
  <si>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</si>
  <si>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</si>
  <si>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</si>
  <si>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</si>
  <si>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</si>
  <si>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</si>
  <si>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</si>
  <si>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</si>
  <si>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</si>
  <si>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</si>
  <si>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</si>
  <si>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</si>
  <si>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</si>
  <si>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</si>
  <si>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</si>
  <si>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</si>
  <si>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</si>
  <si>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</si>
  <si>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</si>
  <si>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</si>
  <si>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</si>
  <si>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</si>
  <si>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</si>
  <si>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</si>
  <si>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</si>
  <si>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</si>
  <si>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</si>
  <si>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</si>
  <si>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</si>
  <si>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</si>
  <si>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</si>
  <si>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</si>
  <si>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</si>
  <si>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</si>
  <si>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</si>
  <si>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</si>
  <si>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</si>
  <si>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</si>
  <si>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</si>
  <si>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</si>
  <si>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</si>
  <si>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</si>
  <si>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</si>
  <si>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</si>
  <si>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</si>
  <si>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</si>
  <si>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</si>
  <si>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</si>
  <si>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</si>
  <si>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</si>
  <si>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</si>
  <si>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</si>
  <si>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</si>
  <si>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</si>
  <si>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</si>
  <si>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</si>
  <si>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</si>
  <si>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</si>
  <si>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</si>
  <si>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</si>
  <si>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</si>
  <si>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</si>
  <si>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</si>
  <si>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</si>
  <si>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</si>
  <si>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</si>
  <si>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</si>
  <si>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</si>
  <si>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</si>
  <si>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</si>
  <si>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</si>
  <si>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</si>
  <si>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</si>
  <si>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</si>
  <si>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</si>
  <si>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</si>
  <si>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</si>
  <si>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</si>
  <si>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</si>
  <si>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</si>
  <si>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</si>
  <si>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</si>
  <si>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</si>
  <si>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</si>
  <si>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</si>
  <si>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</si>
  <si>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</si>
  <si>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</si>
  <si>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</si>
  <si>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</si>
  <si>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</si>
  <si>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</si>
  <si>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</si>
  <si>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</si>
  <si>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</si>
  <si>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</si>
  <si>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</si>
  <si>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</si>
  <si>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</si>
  <si>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</si>
  <si>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</si>
  <si>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</si>
  <si>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</si>
  <si>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</si>
  <si>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</si>
  <si>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</si>
  <si>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</si>
  <si>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</si>
  <si>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</si>
  <si>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</si>
  <si>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</si>
  <si>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</si>
  <si>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</si>
  <si>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</si>
  <si>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</si>
  <si>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</si>
  <si>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</si>
  <si>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</si>
  <si>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</si>
  <si>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</si>
  <si>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</si>
  <si>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</si>
  <si>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</si>
  <si>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</si>
  <si>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</si>
  <si>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</si>
  <si>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</si>
  <si>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</si>
  <si>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</si>
  <si>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</si>
  <si>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</si>
  <si>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</si>
  <si>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</si>
  <si>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</si>
  <si>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</si>
  <si>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</si>
  <si>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</si>
  <si>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</si>
  <si>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</si>
  <si>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</si>
  <si>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</si>
  <si>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</si>
  <si>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</si>
  <si>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</si>
  <si>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</si>
  <si>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</si>
  <si>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</si>
  <si>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</si>
  <si>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</si>
  <si>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</si>
  <si>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</si>
  <si>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</si>
  <si>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</si>
  <si>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</si>
  <si>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</si>
  <si>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</si>
  <si>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</si>
  <si>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</si>
  <si>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</si>
  <si>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</si>
  <si>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</si>
  <si>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</si>
  <si>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</si>
  <si>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</si>
  <si>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</si>
  <si>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</si>
  <si>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</si>
  <si>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</si>
  <si>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</si>
  <si>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</si>
  <si>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</si>
  <si>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</si>
  <si>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</si>
  <si>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</si>
  <si>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</si>
  <si>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</si>
  <si>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</si>
  <si>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</si>
  <si>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</si>
  <si>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</si>
  <si>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</si>
  <si>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</si>
  <si>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</si>
  <si>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</si>
  <si>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</si>
  <si>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</si>
  <si>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</si>
  <si>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</si>
  <si>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</si>
  <si>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</si>
  <si>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</si>
  <si>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</si>
  <si>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</si>
  <si>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</si>
  <si>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</si>
  <si>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</si>
  <si>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</si>
  <si>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</si>
  <si>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</si>
  <si>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</si>
  <si>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</si>
  <si>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</si>
  <si>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</si>
  <si>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</si>
  <si>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</si>
  <si>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</si>
  <si>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</si>
  <si>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</si>
  <si>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</si>
  <si>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</si>
  <si>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</si>
  <si>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</si>
  <si>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</si>
  <si>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</si>
  <si>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</si>
  <si>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</si>
  <si>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</si>
  <si>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</si>
  <si>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</si>
  <si>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</si>
  <si>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</si>
  <si>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</si>
  <si>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</si>
  <si>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</si>
  <si>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</si>
  <si>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</si>
  <si>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</si>
  <si>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</si>
  <si>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</si>
  <si>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</si>
  <si>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</si>
  <si>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</si>
  <si>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</si>
  <si>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</si>
  <si>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</si>
  <si>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</si>
  <si>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</si>
  <si>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</si>
  <si>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</si>
  <si>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</si>
  <si>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</si>
  <si>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</si>
  <si>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</si>
  <si>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</si>
  <si>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</si>
  <si>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</si>
  <si>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</si>
  <si>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</si>
  <si>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</si>
  <si>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</si>
  <si>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</si>
  <si>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</si>
  <si>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</si>
  <si>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</si>
  <si>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</si>
  <si>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</si>
  <si>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</si>
  <si>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</si>
  <si>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</si>
  <si>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</si>
  <si>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</si>
  <si>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</si>
  <si>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</si>
  <si>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</si>
  <si>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</si>
  <si>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</si>
  <si>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</si>
  <si>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</si>
  <si>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</si>
  <si>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</si>
  <si>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</si>
  <si>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</si>
  <si>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</si>
  <si>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</si>
  <si>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</si>
  <si>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</si>
  <si>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</si>
  <si>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</si>
  <si>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</si>
  <si>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</si>
  <si>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</si>
  <si>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</si>
  <si>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</si>
  <si>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</si>
  <si>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</si>
  <si>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</si>
  <si>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</si>
  <si>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</si>
  <si>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</si>
  <si>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</si>
  <si>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</si>
  <si>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</si>
  <si>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</si>
  <si>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</si>
  <si>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</si>
  <si>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</si>
  <si>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</si>
  <si>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</si>
  <si>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</si>
  <si>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</si>
  <si>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</si>
  <si>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</si>
  <si>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</si>
  <si>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</si>
  <si>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</si>
  <si>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</si>
  <si>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</si>
  <si>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</si>
  <si>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</si>
  <si>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</si>
  <si>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</si>
  <si>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</si>
  <si>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</si>
  <si>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</si>
  <si>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</si>
  <si>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</si>
  <si>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</si>
  <si>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</si>
  <si>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</si>
  <si>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</si>
  <si>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</si>
  <si>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</si>
  <si>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</si>
  <si>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</si>
  <si>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</si>
  <si>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</si>
  <si>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</si>
  <si>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</si>
  <si>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</si>
  <si>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</si>
  <si>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</si>
  <si>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</si>
  <si>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</si>
  <si>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</si>
  <si>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</si>
  <si>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</si>
  <si>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</si>
  <si>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</si>
  <si>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</si>
  <si>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</si>
  <si>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</si>
  <si>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</si>
  <si>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</si>
  <si>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</si>
  <si>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</si>
  <si>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</si>
  <si>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</si>
  <si>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</si>
  <si>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</si>
  <si>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</si>
  <si>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</si>
  <si>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</si>
  <si>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</si>
  <si>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</si>
  <si>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</si>
  <si>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</si>
  <si>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</si>
  <si>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</si>
  <si>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</si>
  <si>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</si>
  <si>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</si>
  <si>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</si>
  <si>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</si>
  <si>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</si>
  <si>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</si>
  <si>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</si>
  <si>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</si>
  <si>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</si>
  <si>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</si>
  <si>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</si>
  <si>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</si>
  <si>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</si>
  <si>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</si>
  <si>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</si>
  <si>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</si>
  <si>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</si>
  <si>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</si>
  <si>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</si>
  <si>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</si>
  <si>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</si>
  <si>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</si>
  <si>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</si>
  <si>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</si>
  <si>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</si>
  <si>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</si>
  <si>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</si>
  <si>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</si>
  <si>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</si>
  <si>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</si>
  <si>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</si>
  <si>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</si>
  <si>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</si>
  <si>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</si>
  <si>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</si>
  <si>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</si>
  <si>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</si>
  <si>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</si>
  <si>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</si>
  <si>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</si>
  <si>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</si>
  <si>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</si>
  <si>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</si>
  <si>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</si>
  <si>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</si>
  <si>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</si>
  <si>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</si>
  <si>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</si>
  <si>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</si>
  <si>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</si>
  <si>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</si>
  <si>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</si>
  <si>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</si>
  <si>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</si>
  <si>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</si>
  <si>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</si>
  <si>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</si>
  <si>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</si>
  <si>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</si>
  <si>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</si>
  <si>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</si>
  <si>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BKD, LLP</t>
  </si>
  <si>
    <t>Heather Powell</t>
  </si>
  <si>
    <t>225 North Water Street, Suite 400</t>
  </si>
  <si>
    <t xml:space="preserve">Decatur </t>
  </si>
  <si>
    <t>IL</t>
  </si>
  <si>
    <t>217-429-2411</t>
  </si>
  <si>
    <t>217-429-6109</t>
  </si>
  <si>
    <t>066-003844</t>
  </si>
  <si>
    <t>hpowell@bkd.com</t>
  </si>
  <si>
    <t>Macon/Piatt</t>
  </si>
  <si>
    <t>1595 W. Main Street</t>
  </si>
  <si>
    <t xml:space="preserve">Mt. Zion  </t>
  </si>
  <si>
    <t>x</t>
  </si>
  <si>
    <t>Mr. Travis Roundcount</t>
  </si>
  <si>
    <t>tr@mtzschools.org</t>
  </si>
  <si>
    <t>217-864-2366</t>
  </si>
  <si>
    <t>217-864-2200</t>
  </si>
  <si>
    <t>Heartland Technical Academy</t>
  </si>
  <si>
    <t>Transfer Academy at Richland Community College</t>
  </si>
  <si>
    <t>US Department of Agriculture</t>
  </si>
  <si>
    <t>Passed-through Illinois State Board of Education</t>
  </si>
  <si>
    <t>Commodities</t>
  </si>
  <si>
    <t>School Lunch - Regular</t>
  </si>
  <si>
    <t>Total CFDA 10.555</t>
  </si>
  <si>
    <t>School Breakfast</t>
  </si>
  <si>
    <t>Total CFDA 10.553</t>
  </si>
  <si>
    <t>Total Child Nutrition Cluster</t>
  </si>
  <si>
    <t>Total US Department of Agriculture</t>
  </si>
  <si>
    <t>19-4220-00</t>
  </si>
  <si>
    <t>19-4210-00</t>
  </si>
  <si>
    <t>US Department of Education</t>
  </si>
  <si>
    <t>IASA Title 1, Low Income and Total Title 1 Cluster</t>
  </si>
  <si>
    <t>Total CFDA 84.010A</t>
  </si>
  <si>
    <t>EASA Title  II - Teacher Quality</t>
  </si>
  <si>
    <t>Total CFDA 84.367A</t>
  </si>
  <si>
    <t>Title IVA Student Support &amp; Academic Enrich</t>
  </si>
  <si>
    <t>Total CFDA 84.424A</t>
  </si>
  <si>
    <t>Special Education - IDEA Flowthrough</t>
  </si>
  <si>
    <t>Total CFDA 84.027A</t>
  </si>
  <si>
    <t>Total US Department of Education</t>
  </si>
  <si>
    <t>84.010A</t>
  </si>
  <si>
    <t>19-4300-00</t>
  </si>
  <si>
    <t>84.367A</t>
  </si>
  <si>
    <t>19-4932-00</t>
  </si>
  <si>
    <t>84.424A</t>
  </si>
  <si>
    <t>19-4400-00</t>
  </si>
  <si>
    <t>84.027A</t>
  </si>
  <si>
    <t>19-4620-00</t>
  </si>
  <si>
    <t>US Department of Health and Human Services</t>
  </si>
  <si>
    <t>Passed-through Illinois Department of Healthcare and Family Services</t>
  </si>
  <si>
    <t>Medicaid - Administrative Outreach</t>
  </si>
  <si>
    <t>Total Medicaid Cluster</t>
  </si>
  <si>
    <t>Total Federal Awards</t>
  </si>
  <si>
    <t>19-4991-00</t>
  </si>
  <si>
    <t>None</t>
  </si>
  <si>
    <t>N/A</t>
  </si>
  <si>
    <t>DoD Fresh Fruits and Vegetables</t>
  </si>
  <si>
    <t>Summer Food Service</t>
  </si>
  <si>
    <t>20-4225-00</t>
  </si>
  <si>
    <t>20-4220-00</t>
  </si>
  <si>
    <t>20-4210-00</t>
  </si>
  <si>
    <t>20-4300-00</t>
  </si>
  <si>
    <t>20-4932-00</t>
  </si>
  <si>
    <t>20-4400-00</t>
  </si>
  <si>
    <t>20-4620-00</t>
  </si>
  <si>
    <t>84.173A</t>
  </si>
  <si>
    <t>Special Education - Pre-School Flowthrough</t>
  </si>
  <si>
    <t>20-4600-00</t>
  </si>
  <si>
    <t>Total Special Education Cluster</t>
  </si>
  <si>
    <t>20-4991-00</t>
  </si>
  <si>
    <t>Elementary and Secondary Education Relief Fund</t>
  </si>
  <si>
    <t>84.425D</t>
  </si>
  <si>
    <t>20-4998-00</t>
  </si>
  <si>
    <t>this might be in expense as a negative?</t>
  </si>
  <si>
    <t>Fiscal Purchased Service - copy machine</t>
  </si>
  <si>
    <t>Drug Testing</t>
  </si>
  <si>
    <t>Sanitation</t>
  </si>
  <si>
    <t>Transportation Purchased Service - route software</t>
  </si>
  <si>
    <t>Watts</t>
  </si>
  <si>
    <t>Decatur Memorial Hospital</t>
  </si>
  <si>
    <t>Advance Disposal</t>
  </si>
  <si>
    <t>Versa Trans</t>
  </si>
  <si>
    <t xml:space="preserve">Question 23 - Adverse opinion is given as the financial statements are not presented in conformity with accounting principles generally accepted in the United States of America.  However, an opinion is issued based on the basis of accounting described in the notes to the financial statements. </t>
  </si>
  <si>
    <t>Working cash/refunding bonds</t>
  </si>
  <si>
    <t>Alternative revenue/building</t>
  </si>
  <si>
    <t>General obligation/building</t>
  </si>
  <si>
    <t>General obligation refunding school bonds</t>
  </si>
  <si>
    <t>WC/Refunding</t>
  </si>
  <si>
    <t>Building</t>
  </si>
  <si>
    <t>Refunding</t>
  </si>
  <si>
    <r>
      <t xml:space="preserve">The accompanying Schedule of Expenditures of Federal Awards includes the federal grant activity of </t>
    </r>
    <r>
      <rPr>
        <b/>
        <sz val="9"/>
        <rFont val="Calibri"/>
        <family val="2"/>
        <scheme val="minor"/>
      </rPr>
      <t xml:space="preserve">Mt. Zion Schools </t>
    </r>
    <r>
      <rPr>
        <sz val="9"/>
        <rFont val="Calibri"/>
        <family val="2"/>
        <scheme val="minor"/>
      </rPr>
      <t xml:space="preserve">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</si>
  <si>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Adverse-GAAP, Unmodified - Regulatory</t>
  </si>
  <si>
    <t>Unmodified</t>
  </si>
  <si>
    <t>Special Education Cluster - IDEA</t>
  </si>
  <si>
    <t>84.027A, 84.173A</t>
  </si>
  <si>
    <r>
      <t xml:space="preserve">Of the federal expenditures presented in the schedule, </t>
    </r>
    <r>
      <rPr>
        <b/>
        <sz val="9"/>
        <rFont val="Calibri"/>
        <family val="2"/>
        <scheme val="minor"/>
      </rPr>
      <t xml:space="preserve">Mt. Zion Community Unit School District No. 3 </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</si>
  <si>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Mt. Zion Community Unit School District No. 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</si>
  <si>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Mt Zion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</si>
</sst>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1016577</xdr:colOff>
          <xdr:row>11</xdr:row>
          <xdr:rowOff>76200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40">
        <f>+'AFR20'!F4</f>
        <v>44151</v>
      </c>
      <c r="C2" s="2040"/>
      <c r="D2" s="204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2061</v>
      </c>
      <c r="C5" s="26" t="s">
        <v>904</v>
      </c>
      <c r="D5" s="81"/>
      <c r="E5" s="81"/>
      <c r="H5" s="38"/>
      <c r="I5" s="2126" t="s">
        <v>675</v>
      </c>
      <c r="J5" s="2071"/>
      <c r="K5" s="2071"/>
      <c r="L5" s="2071"/>
      <c r="M5" s="2071"/>
      <c r="N5" s="2071"/>
      <c r="O5" s="2071"/>
      <c r="P5" s="2071"/>
      <c r="Q5" s="2071"/>
      <c r="R5" s="2071"/>
      <c r="S5" s="2071"/>
      <c r="AF5" s="1827"/>
    </row>
    <row r="6" spans="1:32" ht="14.1" customHeight="1" x14ac:dyDescent="0.2">
      <c r="B6" s="101"/>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4" t="s">
        <v>2048</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7">
        <v>39055003026</v>
      </c>
      <c r="B13" s="2088"/>
      <c r="C13" s="2088"/>
      <c r="D13" s="2088"/>
      <c r="E13" s="2088"/>
      <c r="F13" s="2088"/>
      <c r="G13" s="2088"/>
      <c r="H13" s="2089"/>
      <c r="I13" s="31"/>
      <c r="J13" s="30"/>
      <c r="K13" s="28"/>
      <c r="L13" s="30"/>
      <c r="M13" s="30"/>
      <c r="N13" s="30"/>
      <c r="O13" s="30"/>
      <c r="P13" s="30"/>
      <c r="Q13" s="30"/>
      <c r="R13" s="30"/>
      <c r="S13" s="30"/>
      <c r="T13" s="2092" t="s">
        <v>2049</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5" t="s">
        <v>2058</v>
      </c>
      <c r="B15" s="2090"/>
      <c r="C15" s="2090"/>
      <c r="D15" s="2090"/>
      <c r="E15" s="2090"/>
      <c r="F15" s="2090"/>
      <c r="G15" s="2090"/>
      <c r="H15" s="2091"/>
      <c r="T15" s="2053" t="s">
        <v>2050</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2146</v>
      </c>
      <c r="B17" s="2115"/>
      <c r="C17" s="2115"/>
      <c r="D17" s="2115"/>
      <c r="E17" s="2115"/>
      <c r="F17" s="2115"/>
      <c r="G17" s="2115"/>
      <c r="H17" s="2116"/>
      <c r="T17" s="2102" t="s">
        <v>2051</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4" t="s">
        <v>672</v>
      </c>
      <c r="AA18" s="44"/>
    </row>
    <row r="19" spans="1:27" ht="13.5" customHeight="1" x14ac:dyDescent="0.2">
      <c r="A19" s="2085" t="s">
        <v>2059</v>
      </c>
      <c r="B19" s="2086"/>
      <c r="C19" s="2086"/>
      <c r="D19" s="2086"/>
      <c r="E19" s="2086"/>
      <c r="F19" s="2086"/>
      <c r="G19" s="2086"/>
      <c r="H19" s="2084"/>
      <c r="I19" s="30"/>
      <c r="J19" s="96"/>
      <c r="K19" s="40"/>
      <c r="L19" s="38"/>
      <c r="M19" s="109" t="s">
        <v>312</v>
      </c>
      <c r="P19" s="27"/>
      <c r="Q19" s="27"/>
      <c r="R19" s="27"/>
      <c r="S19" s="31"/>
      <c r="T19" s="2085" t="s">
        <v>2052</v>
      </c>
      <c r="U19" s="2083"/>
      <c r="V19" s="2083"/>
      <c r="W19" s="2084"/>
      <c r="X19" s="2100" t="s">
        <v>2053</v>
      </c>
      <c r="Y19" s="2101"/>
      <c r="Z19" s="2098">
        <v>62523</v>
      </c>
      <c r="AA19" s="209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2" t="s">
        <v>2060</v>
      </c>
      <c r="B21" s="2083"/>
      <c r="C21" s="2083"/>
      <c r="D21" s="2083"/>
      <c r="E21" s="2083"/>
      <c r="F21" s="2083"/>
      <c r="G21" s="2083"/>
      <c r="H21" s="2084"/>
      <c r="I21" s="2108" t="s">
        <v>673</v>
      </c>
      <c r="J21" s="2071"/>
      <c r="K21" s="2071"/>
      <c r="L21" s="2071"/>
      <c r="M21" s="2071"/>
      <c r="N21" s="2071"/>
      <c r="O21" s="2071"/>
      <c r="P21" s="2071"/>
      <c r="Q21" s="2071"/>
      <c r="R21" s="2071"/>
      <c r="S21" s="2072"/>
      <c r="T21" s="2050" t="s">
        <v>2054</v>
      </c>
      <c r="U21" s="2051"/>
      <c r="V21" s="2051"/>
      <c r="W21" s="2051"/>
      <c r="X21" s="2064" t="s">
        <v>2055</v>
      </c>
      <c r="Y21" s="2065"/>
      <c r="Z21" s="2065"/>
      <c r="AA21" s="2066"/>
    </row>
    <row r="22" spans="1:27" ht="13.5" customHeight="1" x14ac:dyDescent="0.2">
      <c r="A22" s="84" t="s">
        <v>528</v>
      </c>
      <c r="B22" s="56"/>
      <c r="C22" s="56"/>
      <c r="D22" s="56"/>
      <c r="E22" s="56"/>
      <c r="F22" s="56"/>
      <c r="G22" s="56"/>
      <c r="H22" s="57"/>
      <c r="I22" s="2109" t="s">
        <v>1415</v>
      </c>
      <c r="J22" s="2110"/>
      <c r="K22" s="2110"/>
      <c r="L22" s="2110"/>
      <c r="M22" s="2110"/>
      <c r="N22" s="2110"/>
      <c r="O22" s="2110"/>
      <c r="P22" s="2110"/>
      <c r="Q22" s="2110"/>
      <c r="R22" s="2110"/>
      <c r="S22" s="2111"/>
      <c r="T22" s="82" t="s">
        <v>1502</v>
      </c>
      <c r="U22" s="48"/>
      <c r="V22" s="69"/>
      <c r="W22" s="48"/>
      <c r="X22" s="155" t="s">
        <v>1309</v>
      </c>
      <c r="Z22" s="43"/>
      <c r="AA22" s="44"/>
    </row>
    <row r="23" spans="1:27" ht="13.5" customHeight="1" x14ac:dyDescent="0.2">
      <c r="A23" s="2105"/>
      <c r="B23" s="2106"/>
      <c r="C23" s="2106"/>
      <c r="D23" s="2106"/>
      <c r="E23" s="2106"/>
      <c r="F23" s="2106"/>
      <c r="G23" s="2106"/>
      <c r="H23" s="2107"/>
      <c r="T23" s="2045" t="s">
        <v>2056</v>
      </c>
      <c r="U23" s="2046"/>
      <c r="V23" s="2046"/>
      <c r="W23" s="2046"/>
      <c r="X23" s="2061">
        <v>44530</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2019-2020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62549</v>
      </c>
      <c r="B25" s="2083"/>
      <c r="C25" s="2083"/>
      <c r="D25" s="2083"/>
      <c r="E25" s="2083"/>
      <c r="F25" s="2083"/>
      <c r="G25" s="2083"/>
      <c r="H25" s="2084"/>
      <c r="I25" s="110"/>
      <c r="J25" s="2149"/>
      <c r="K25" s="2149"/>
      <c r="L25" s="2149"/>
      <c r="M25" s="2149"/>
      <c r="N25" s="2149"/>
      <c r="O25" s="2149"/>
      <c r="P25" s="2149"/>
      <c r="Q25" s="2149"/>
      <c r="R25" s="2149"/>
      <c r="S25" s="2150"/>
      <c r="T25" s="2042" t="s">
        <v>2057</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0" t="s">
        <v>1497</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2048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2048</v>
      </c>
      <c r="C30" s="121" t="s">
        <v>1156</v>
      </c>
      <c r="D30" s="28"/>
      <c r="E30" s="28"/>
      <c r="F30" s="136"/>
      <c r="G30" s="111"/>
      <c r="H30" s="111"/>
      <c r="I30" s="51"/>
      <c r="J30" s="144" t="s">
        <v>2048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2048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2062</v>
      </c>
      <c r="B38" s="2115"/>
      <c r="C38" s="2115"/>
      <c r="D38" s="2115"/>
      <c r="E38" s="2115"/>
      <c r="F38" s="2083"/>
      <c r="G38" s="2083"/>
      <c r="H38" s="2084"/>
      <c r="I38" s="2134"/>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2063</v>
      </c>
      <c r="B40" s="2142"/>
      <c r="C40" s="2143"/>
      <c r="D40" s="2143"/>
      <c r="E40" s="2143"/>
      <c r="F40" s="2144"/>
      <c r="G40" s="2144"/>
      <c r="H40" s="2145"/>
      <c r="I40" s="2057"/>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2064</v>
      </c>
      <c r="B42" s="2132"/>
      <c r="C42" s="2133"/>
      <c r="D42" s="2146" t="s">
        <v>2065</v>
      </c>
      <c r="E42" s="2132"/>
      <c r="F42" s="2132"/>
      <c r="G42" s="2132"/>
      <c r="H42" s="2133"/>
      <c r="I42" s="2052"/>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70" t="s">
        <v>1597</v>
      </c>
    </row>
    <row r="23" spans="1:5" x14ac:dyDescent="0.2">
      <c r="A23" s="163"/>
      <c r="B23" s="157" t="s">
        <v>1828</v>
      </c>
      <c r="D23" s="162" t="s">
        <v>632</v>
      </c>
      <c r="E23" s="1470"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4" t="s">
        <v>1058</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1594</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1160</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9" t="s">
        <v>1619</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2048</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2131</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1314</v>
      </c>
      <c r="B70" s="2172"/>
      <c r="C70" s="2172"/>
      <c r="D70" s="2172"/>
      <c r="E70" s="2173"/>
      <c r="F70" s="2173"/>
      <c r="G70" s="2173"/>
      <c r="H70" s="2173"/>
      <c r="I70" s="217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1311</v>
      </c>
      <c r="B83" s="2174"/>
      <c r="C83" s="2174"/>
      <c r="D83" s="217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2049</v>
      </c>
      <c r="D114" s="216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1321</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P44" sqref="P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290601038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2.4299999999999999E-2</v>
      </c>
      <c r="E10" s="333" t="s">
        <v>998</v>
      </c>
      <c r="F10" s="332">
        <v>5.0000000000000001E-3</v>
      </c>
      <c r="G10" s="333" t="s">
        <v>998</v>
      </c>
      <c r="H10" s="332">
        <v>2E-3</v>
      </c>
      <c r="I10" s="333" t="s">
        <v>999</v>
      </c>
      <c r="J10" s="1424">
        <f>ROUND(D10+F10+H10,5)</f>
        <v>3.1300000000000001E-2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20549567</v>
      </c>
      <c r="E16" s="1547"/>
      <c r="F16" s="1546">
        <f>SUM('Acct Summary 7-8'!C17,'Acct Summary 7-8'!D17,'Acct Summary 7-8'!F17)</f>
        <v>20262762</v>
      </c>
      <c r="G16" s="1547"/>
      <c r="H16" s="1546">
        <f>SUM(D16-F16)</f>
        <v>286805</v>
      </c>
      <c r="I16" s="1548"/>
      <c r="J16" s="1546">
        <f>SUM('Acct Summary 7-8'!C81,'Acct Summary 7-8'!D81,'Acct Summary 7-8'!F81,'Acct Summary 7-8'!I81)</f>
        <v>6087686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5">
        <f>IF(B31="X",(J7*0.069),IF(B32="X",(J7*0.138),"Enter x in a.or b."))</f>
        <v>40102943.244000003</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26775000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E13" zoomScale="110" zoomScaleNormal="110" workbookViewId="0">
      <selection activeCell="O36" sqref="O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1399</v>
      </c>
      <c r="B3" s="2210"/>
      <c r="C3" s="2210"/>
      <c r="D3" s="2210"/>
      <c r="E3" s="2210"/>
      <c r="F3" s="2210"/>
      <c r="G3" s="2210"/>
      <c r="H3" s="2210"/>
      <c r="I3" s="2210"/>
      <c r="J3" s="2210"/>
      <c r="K3" s="2210"/>
      <c r="L3" s="2210"/>
      <c r="M3" s="2210"/>
      <c r="N3" s="2210"/>
      <c r="O3" s="2210"/>
      <c r="P3" s="2210"/>
      <c r="Q3" s="2210"/>
      <c r="R3" s="2210"/>
    </row>
    <row r="4" spans="1:18" x14ac:dyDescent="0.2">
      <c r="A4" s="2211" t="s">
        <v>1540</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Mt Zion CUSD 3</v>
      </c>
      <c r="E7" s="368"/>
      <c r="G7" s="247"/>
      <c r="H7" s="364"/>
      <c r="I7" s="364"/>
      <c r="J7" s="364"/>
      <c r="K7" s="364"/>
      <c r="L7" s="307"/>
      <c r="M7" s="307"/>
      <c r="N7" s="307"/>
      <c r="O7" s="307"/>
      <c r="P7" s="307"/>
    </row>
    <row r="8" spans="1:18" ht="12.75" x14ac:dyDescent="0.2">
      <c r="A8" s="307"/>
      <c r="B8" s="307"/>
      <c r="C8" s="366" t="s">
        <v>1117</v>
      </c>
      <c r="D8" s="369">
        <f>COVER!A13</f>
        <v>39055003026</v>
      </c>
      <c r="E8" s="370"/>
      <c r="G8" s="307"/>
      <c r="H8" s="307"/>
      <c r="I8" s="307"/>
      <c r="J8" s="307"/>
      <c r="K8" s="307"/>
      <c r="L8" s="307"/>
      <c r="M8" s="307"/>
      <c r="N8" s="307"/>
      <c r="O8" s="307"/>
      <c r="P8" s="307"/>
    </row>
    <row r="9" spans="1:18" ht="12.75" x14ac:dyDescent="0.2">
      <c r="A9" s="307"/>
      <c r="B9" s="307"/>
      <c r="C9" s="366" t="s">
        <v>708</v>
      </c>
      <c r="D9" s="371" t="str">
        <f>COVER!A15</f>
        <v>Macon/Piatt</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6087686</v>
      </c>
      <c r="I12" s="380"/>
      <c r="J12" s="380"/>
      <c r="K12" s="1559">
        <f>TRUNC((H12/H13*100000),5)/100000</f>
        <v>0.29624400350000002</v>
      </c>
      <c r="L12" s="381"/>
      <c r="M12" s="337" t="s">
        <v>1136</v>
      </c>
      <c r="N12" s="337"/>
      <c r="O12" s="1562">
        <v>0.35</v>
      </c>
      <c r="P12" s="213"/>
      <c r="Q12" s="213"/>
    </row>
    <row r="13" spans="1:18" s="382" customFormat="1" ht="12.75" x14ac:dyDescent="0.2">
      <c r="A13" s="213"/>
      <c r="B13" s="377"/>
      <c r="C13" s="2207" t="s">
        <v>1315</v>
      </c>
      <c r="D13" s="2208"/>
      <c r="E13" s="213"/>
      <c r="F13" s="383" t="s">
        <v>788</v>
      </c>
      <c r="G13" s="378"/>
      <c r="H13" s="1551">
        <f>SUM('Acct Summary 7-8'!C8+'Acct Summary 7-8'!D8+'Acct Summary 7-8'!F8+'Acct Summary 7-8'!I8)+H14</f>
        <v>20549567</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20262762</v>
      </c>
      <c r="I17" s="380"/>
      <c r="J17" s="389"/>
      <c r="K17" s="1559">
        <f>TRUNC((H17/H18*100000),5)/100000</f>
        <v>0.98604325819999994</v>
      </c>
      <c r="L17" s="381"/>
      <c r="M17" s="390" t="s">
        <v>1163</v>
      </c>
      <c r="O17" s="1565" t="str">
        <f>IF(AND(O16="2", J20 &gt; 2),"1",IF(AND(O16 = "1", J20 &gt; 2),"2",IF(AND(O16="1", J20 &gt;1),"1","0")))</f>
        <v>0</v>
      </c>
      <c r="P17" s="213"/>
    </row>
    <row r="18" spans="1:18" s="382" customFormat="1" ht="11.25" x14ac:dyDescent="0.2">
      <c r="A18" s="213"/>
      <c r="B18" s="377"/>
      <c r="C18" s="2207" t="s">
        <v>1308</v>
      </c>
      <c r="D18" s="2208"/>
      <c r="E18" s="213"/>
      <c r="F18" s="391" t="s">
        <v>789</v>
      </c>
      <c r="G18" s="378"/>
      <c r="H18" s="1551">
        <f>SUM('Acct Summary 7-8'!C8+'Acct Summary 7-8'!D8+'Acct Summary 7-8'!F8+'Acct Summary 7-8'!I8)+H19</f>
        <v>20549567</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3</v>
      </c>
      <c r="P23" s="211"/>
      <c r="R23" s="361"/>
    </row>
    <row r="24" spans="1:18" s="382" customFormat="1" ht="11.25" x14ac:dyDescent="0.2">
      <c r="A24" s="213"/>
      <c r="B24" s="377"/>
      <c r="C24" s="2204" t="s">
        <v>1398</v>
      </c>
      <c r="D24" s="2204"/>
      <c r="E24" s="213"/>
      <c r="F24" s="213" t="s">
        <v>442</v>
      </c>
      <c r="G24" s="378"/>
      <c r="H24" s="1551">
        <f>SUM('Assets-Liab 5-6'!C4+'Assets-Liab 5-6'!D4+'Assets-Liab 5-6'!F4+'Assets-Liab 5-6'!I4+'Assets-Liab 5-6'!C5+'Assets-Liab 5-6'!D5+'Assets-Liab 5-6'!F5+'Assets-Liab 5-6'!I5)</f>
        <v>6144821</v>
      </c>
      <c r="I24" s="394"/>
      <c r="J24" s="394"/>
      <c r="K24" s="1555">
        <f>TRUNC(((H24/H25*100000)/100000),2)</f>
        <v>109.17</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56285.45</v>
      </c>
      <c r="I25" s="396"/>
      <c r="J25" s="396"/>
      <c r="K25" s="1558"/>
      <c r="L25" s="213"/>
      <c r="M25" s="337" t="s">
        <v>1137</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7731440.6159899998</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2</v>
      </c>
      <c r="P31" s="211"/>
    </row>
    <row r="32" spans="1:18" s="382" customFormat="1" ht="11.25" x14ac:dyDescent="0.2">
      <c r="A32" s="213"/>
      <c r="B32" s="377"/>
      <c r="C32" s="213" t="s">
        <v>842</v>
      </c>
      <c r="D32" s="213"/>
      <c r="E32" s="213"/>
      <c r="F32" s="213"/>
      <c r="G32" s="378"/>
      <c r="H32" s="1551">
        <f>'FP Info 3'!H37</f>
        <v>26775000</v>
      </c>
      <c r="I32" s="392"/>
      <c r="J32" s="392"/>
      <c r="K32" s="1555">
        <f>TRUNC(100-((((H32/H33*100))*100)/100),2)</f>
        <v>33.229999999999997</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40102943.244000003</v>
      </c>
      <c r="I33" s="392"/>
      <c r="J33" s="392"/>
      <c r="K33" s="379"/>
      <c r="L33" s="213"/>
      <c r="M33" s="401" t="s">
        <v>1137</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G1" colorId="8" zoomScale="110" zoomScaleNormal="110"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1635</v>
      </c>
      <c r="B4" s="428"/>
      <c r="C4" s="1572">
        <v>3641126</v>
      </c>
      <c r="D4" s="1573">
        <v>845015</v>
      </c>
      <c r="E4" s="1573">
        <v>517039</v>
      </c>
      <c r="F4" s="1573">
        <v>613315</v>
      </c>
      <c r="G4" s="1573">
        <v>376662</v>
      </c>
      <c r="H4" s="1573">
        <v>1101310</v>
      </c>
      <c r="I4" s="1573">
        <v>1045365</v>
      </c>
      <c r="J4" s="1574">
        <v>2233</v>
      </c>
      <c r="K4" s="1573">
        <v>336926</v>
      </c>
      <c r="L4" s="1573">
        <v>2976239</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3641126</v>
      </c>
      <c r="D13" s="1587">
        <f t="shared" ref="D13:L13" si="0">SUM(D4:D12)</f>
        <v>845015</v>
      </c>
      <c r="E13" s="1587">
        <f t="shared" si="0"/>
        <v>517039</v>
      </c>
      <c r="F13" s="1587">
        <f t="shared" si="0"/>
        <v>613315</v>
      </c>
      <c r="G13" s="1587">
        <f t="shared" si="0"/>
        <v>376662</v>
      </c>
      <c r="H13" s="1587">
        <f t="shared" si="0"/>
        <v>1101310</v>
      </c>
      <c r="I13" s="1587">
        <f t="shared" si="0"/>
        <v>1045365</v>
      </c>
      <c r="J13" s="1587">
        <f t="shared" si="0"/>
        <v>2233</v>
      </c>
      <c r="K13" s="1587">
        <f t="shared" si="0"/>
        <v>336926</v>
      </c>
      <c r="L13" s="1587">
        <f t="shared" si="0"/>
        <v>2976239</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v>411741</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v>49919382</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v>2427918</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v>6246682</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v>517039</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26257961</v>
      </c>
    </row>
    <row r="23" spans="1:14" ht="13.5" customHeight="1" thickBot="1" x14ac:dyDescent="0.25">
      <c r="A23" s="1426" t="s">
        <v>638</v>
      </c>
      <c r="B23" s="1429"/>
      <c r="C23" s="1575"/>
      <c r="D23" s="1575"/>
      <c r="E23" s="1575"/>
      <c r="F23" s="1575"/>
      <c r="G23" s="1575"/>
      <c r="H23" s="1575"/>
      <c r="I23" s="1575"/>
      <c r="J23" s="1575"/>
      <c r="K23" s="1575"/>
      <c r="L23" s="1575"/>
      <c r="M23" s="1594">
        <f>SUM(M15:M22)</f>
        <v>59005723</v>
      </c>
      <c r="N23" s="1594">
        <f>SUM(N21:N22)</f>
        <v>26775000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v>57135</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2976239</v>
      </c>
      <c r="M33" s="1575"/>
      <c r="N33" s="1576"/>
    </row>
    <row r="34" spans="1:14" ht="13.5" customHeight="1" thickBot="1" x14ac:dyDescent="0.25">
      <c r="A34" s="1427" t="s">
        <v>649</v>
      </c>
      <c r="B34" s="1428"/>
      <c r="C34" s="1600">
        <f>SUM(C25:C33)</f>
        <v>57135</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2976239</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26775000</v>
      </c>
    </row>
    <row r="37" spans="1:14" ht="13.5" thickBot="1" x14ac:dyDescent="0.25">
      <c r="A37" s="1426" t="s">
        <v>648</v>
      </c>
      <c r="B37" s="1429"/>
      <c r="C37" s="1582"/>
      <c r="D37" s="1582"/>
      <c r="E37" s="1582"/>
      <c r="F37" s="1582"/>
      <c r="G37" s="1582"/>
      <c r="H37" s="1582"/>
      <c r="I37" s="1582"/>
      <c r="J37" s="1582"/>
      <c r="K37" s="1582"/>
      <c r="L37" s="1585"/>
      <c r="M37" s="1575"/>
      <c r="N37" s="1594">
        <f>SUM(N36:N36)</f>
        <v>26775000</v>
      </c>
    </row>
    <row r="38" spans="1:14" s="307" customFormat="1" ht="13.5" customHeight="1" thickTop="1" x14ac:dyDescent="0.2">
      <c r="A38" s="438" t="s">
        <v>417</v>
      </c>
      <c r="B38" s="432">
        <v>714</v>
      </c>
      <c r="C38" s="1573"/>
      <c r="D38" s="1573"/>
      <c r="E38" s="1573"/>
      <c r="F38" s="1573"/>
      <c r="G38" s="1573">
        <v>69347</v>
      </c>
      <c r="H38" s="1573"/>
      <c r="I38" s="1573"/>
      <c r="J38" s="1574"/>
      <c r="K38" s="1573"/>
      <c r="L38" s="1586"/>
      <c r="M38" s="1604"/>
      <c r="N38" s="1604"/>
    </row>
    <row r="39" spans="1:14" s="307" customFormat="1" ht="13.5" customHeight="1" x14ac:dyDescent="0.2">
      <c r="A39" s="438" t="s">
        <v>339</v>
      </c>
      <c r="B39" s="432">
        <v>730</v>
      </c>
      <c r="C39" s="1573">
        <v>3583991</v>
      </c>
      <c r="D39" s="1573">
        <v>845015</v>
      </c>
      <c r="E39" s="1573">
        <v>517039</v>
      </c>
      <c r="F39" s="1573">
        <v>613315</v>
      </c>
      <c r="G39" s="1573">
        <v>307315</v>
      </c>
      <c r="H39" s="1573">
        <v>1101310</v>
      </c>
      <c r="I39" s="1573">
        <v>1045365</v>
      </c>
      <c r="J39" s="1574">
        <v>2233</v>
      </c>
      <c r="K39" s="1573">
        <v>336926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59005723</v>
      </c>
      <c r="N40" s="1604"/>
    </row>
    <row r="41" spans="1:14" ht="13.5" customHeight="1" thickBot="1" x14ac:dyDescent="0.25">
      <c r="A41" s="1426" t="s">
        <v>650</v>
      </c>
      <c r="B41" s="1405"/>
      <c r="C41" s="1594">
        <f>(SUM(C34,C37,C38,C39))</f>
        <v>3641126</v>
      </c>
      <c r="D41" s="1594">
        <f t="shared" ref="D41:L41" si="2">SUM(D34,D37,D38:D39)</f>
        <v>845015</v>
      </c>
      <c r="E41" s="1594">
        <f t="shared" si="2"/>
        <v>517039</v>
      </c>
      <c r="F41" s="1594">
        <f t="shared" si="2"/>
        <v>613315</v>
      </c>
      <c r="G41" s="1594">
        <f t="shared" si="2"/>
        <v>376662</v>
      </c>
      <c r="H41" s="1594">
        <f t="shared" si="2"/>
        <v>1101310</v>
      </c>
      <c r="I41" s="1594">
        <f t="shared" si="2"/>
        <v>1045365</v>
      </c>
      <c r="J41" s="1594">
        <f t="shared" si="2"/>
        <v>2233</v>
      </c>
      <c r="K41" s="1594">
        <f t="shared" si="2"/>
        <v>336926</v>
      </c>
      <c r="L41" s="1594">
        <f t="shared" si="2"/>
        <v>2976239</v>
      </c>
      <c r="M41" s="1594">
        <f>SUM(M40)</f>
        <v>59005723</v>
      </c>
      <c r="N41" s="1594">
        <f>SUM(N37)</f>
        <v>26775000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D1"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1167</v>
      </c>
      <c r="B3" s="2243"/>
      <c r="C3" s="1311"/>
      <c r="D3" s="1312"/>
      <c r="E3" s="1312"/>
      <c r="F3" s="1312"/>
      <c r="G3" s="1312"/>
      <c r="H3" s="1312"/>
      <c r="I3" s="1312"/>
      <c r="J3" s="1312"/>
      <c r="K3" s="1313"/>
      <c r="L3" s="446"/>
    </row>
    <row r="4" spans="1:13" ht="15.75" customHeight="1" x14ac:dyDescent="0.2">
      <c r="A4" s="1537" t="s">
        <v>1485</v>
      </c>
      <c r="B4" s="1538">
        <v>1000</v>
      </c>
      <c r="C4" s="1606">
        <f>'Revenues 9-14'!C109</f>
        <v>8620742</v>
      </c>
      <c r="D4" s="1606">
        <f>'Revenues 9-14'!D109</f>
        <v>1449061</v>
      </c>
      <c r="E4" s="1606">
        <f>'Revenues 9-14'!E109</f>
        <v>1951900</v>
      </c>
      <c r="F4" s="1606">
        <f>'Revenues 9-14'!F109</f>
        <v>601709</v>
      </c>
      <c r="G4" s="1606">
        <f>'Revenues 9-14'!G109</f>
        <v>638974</v>
      </c>
      <c r="H4" s="1606">
        <f>'Revenues 9-14'!H109</f>
        <v>88771</v>
      </c>
      <c r="I4" s="1606">
        <f>'Revenues 9-14'!I109</f>
        <v>153923</v>
      </c>
      <c r="J4" s="1606">
        <f>'Revenues 9-14'!J109</f>
        <v>649779</v>
      </c>
      <c r="K4" s="1606">
        <f>'Revenues 9-14'!K109</f>
        <v>148713</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7783923</v>
      </c>
      <c r="D6" s="1607">
        <f>'Revenues 9-14'!D170</f>
        <v>0</v>
      </c>
      <c r="E6" s="1607">
        <f>'Revenues 9-14'!E170</f>
        <v>0</v>
      </c>
      <c r="F6" s="1607">
        <f>'Revenues 9-14'!F170</f>
        <v>779186</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1488</v>
      </c>
      <c r="B7" s="1316">
        <v>4000</v>
      </c>
      <c r="C7" s="1607">
        <f>'Revenues 9-14'!C267</f>
        <v>1161023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17565688</v>
      </c>
      <c r="D8" s="1594">
        <f t="shared" ref="D8:K8" si="0">SUM(D4:D7)</f>
        <v>1449061</v>
      </c>
      <c r="E8" s="1594">
        <f t="shared" si="0"/>
        <v>1951900</v>
      </c>
      <c r="F8" s="1594">
        <f t="shared" si="0"/>
        <v>1380895</v>
      </c>
      <c r="G8" s="1594">
        <f t="shared" si="0"/>
        <v>638974</v>
      </c>
      <c r="H8" s="1594">
        <f t="shared" si="0"/>
        <v>138771</v>
      </c>
      <c r="I8" s="1594">
        <f t="shared" si="0"/>
        <v>153923</v>
      </c>
      <c r="J8" s="1594">
        <f t="shared" si="0"/>
        <v>649779</v>
      </c>
      <c r="K8" s="1594">
        <f t="shared" si="0"/>
        <v>148713</v>
      </c>
      <c r="L8" s="325"/>
    </row>
    <row r="9" spans="1:13" ht="15.75" thickTop="1" x14ac:dyDescent="0.2">
      <c r="A9" s="449" t="s">
        <v>1637</v>
      </c>
      <c r="B9" s="450">
        <v>3998</v>
      </c>
      <c r="C9" s="1586">
        <v>8980802</v>
      </c>
      <c r="D9" s="1613"/>
      <c r="E9" s="1586"/>
      <c r="F9" s="1586"/>
      <c r="G9" s="1614"/>
      <c r="H9" s="1586"/>
      <c r="I9" s="1609" t="s">
        <v>1161</v>
      </c>
      <c r="J9" s="1583"/>
      <c r="K9" s="1586"/>
      <c r="L9" s="325"/>
    </row>
    <row r="10" spans="1:13" s="452" customFormat="1" ht="13.5" thickBot="1" x14ac:dyDescent="0.25">
      <c r="A10" s="1426" t="s">
        <v>1165</v>
      </c>
      <c r="B10" s="1407"/>
      <c r="C10" s="1594">
        <f>SUM(C8:C9)</f>
        <v>26546490</v>
      </c>
      <c r="D10" s="1594">
        <f t="shared" ref="D10:K10" si="1">SUM(D8:D9)</f>
        <v>1449061</v>
      </c>
      <c r="E10" s="1594">
        <f t="shared" si="1"/>
        <v>1951900</v>
      </c>
      <c r="F10" s="1594">
        <f t="shared" si="1"/>
        <v>1380895</v>
      </c>
      <c r="G10" s="1594">
        <f t="shared" si="1"/>
        <v>638974</v>
      </c>
      <c r="H10" s="1594">
        <f t="shared" si="1"/>
        <v>138771</v>
      </c>
      <c r="I10" s="1594">
        <f t="shared" si="1"/>
        <v>153923</v>
      </c>
      <c r="J10" s="1594">
        <f t="shared" si="1"/>
        <v>649779</v>
      </c>
      <c r="K10" s="1594">
        <f t="shared" si="1"/>
        <v>148713</v>
      </c>
      <c r="L10" s="451"/>
    </row>
    <row r="11" spans="1:13" s="452" customFormat="1" ht="16.7" customHeight="1" thickTop="1" x14ac:dyDescent="0.2">
      <c r="A11" s="2216" t="s">
        <v>1168</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12080546</v>
      </c>
      <c r="D12" s="1616" t="s">
        <v>1161</v>
      </c>
      <c r="E12" s="1575" t="s">
        <v>1161</v>
      </c>
      <c r="F12" s="1575" t="s">
        <v>1161</v>
      </c>
      <c r="G12" s="1606">
        <f>'Expenditures 15-22'!K229</f>
        <v>186453</v>
      </c>
      <c r="H12" s="1617"/>
      <c r="I12" s="1575" t="s">
        <v>1161</v>
      </c>
      <c r="J12" s="1575" t="s">
        <v>1161</v>
      </c>
      <c r="K12" s="1617" t="s">
        <v>1161</v>
      </c>
      <c r="L12" s="325"/>
    </row>
    <row r="13" spans="1:13" ht="15.75" customHeight="1" x14ac:dyDescent="0.2">
      <c r="A13" s="1314" t="s">
        <v>454</v>
      </c>
      <c r="B13" s="1316">
        <v>2000</v>
      </c>
      <c r="C13" s="1607">
        <f>'Expenditures 15-22'!K74</f>
        <v>3808112</v>
      </c>
      <c r="D13" s="1607">
        <f>'Expenditures 15-22'!K129</f>
        <v>1446360</v>
      </c>
      <c r="E13" s="1576" t="s">
        <v>1161</v>
      </c>
      <c r="F13" s="1607">
        <f>'Expenditures 15-22'!K184</f>
        <v>1379443</v>
      </c>
      <c r="G13" s="1607">
        <f>'Expenditures 15-22'!K279</f>
        <v>417292</v>
      </c>
      <c r="H13" s="1607">
        <f>'Expenditures 15-22'!K303</f>
        <v>578408</v>
      </c>
      <c r="I13" s="1575" t="s">
        <v>1161</v>
      </c>
      <c r="J13" s="1607">
        <f>'Expenditures 15-22'!K330</f>
        <v>649725</v>
      </c>
      <c r="K13" s="1618">
        <f>'Expenditures 15-22'!K352</f>
        <v>664435</v>
      </c>
      <c r="L13" s="325"/>
    </row>
    <row r="14" spans="1:13" ht="15.75" customHeight="1" x14ac:dyDescent="0.2">
      <c r="A14" s="1314" t="s">
        <v>446</v>
      </c>
      <c r="B14" s="1316">
        <v>3000</v>
      </c>
      <c r="C14" s="1607">
        <f>'Expenditures 15-22'!K75</f>
        <v>171513</v>
      </c>
      <c r="D14" s="1607">
        <f>'Expenditures 15-22'!K130</f>
        <v>0</v>
      </c>
      <c r="E14" s="1616" t="s">
        <v>1161</v>
      </c>
      <c r="F14" s="1607">
        <f>'Expenditures 15-22'!K185</f>
        <v>0</v>
      </c>
      <c r="G14" s="1607">
        <f>'Expenditures 15-22'!K280</f>
        <v>18491</v>
      </c>
      <c r="H14" s="1612"/>
      <c r="I14" s="1575" t="s">
        <v>1161</v>
      </c>
      <c r="J14" s="1575" t="s">
        <v>1161</v>
      </c>
      <c r="K14" s="1612" t="s">
        <v>1161</v>
      </c>
      <c r="L14" s="325"/>
    </row>
    <row r="15" spans="1:13" ht="15.75" customHeight="1" x14ac:dyDescent="0.2">
      <c r="A15" s="1314" t="s">
        <v>107</v>
      </c>
      <c r="B15" s="1316">
        <v>4000</v>
      </c>
      <c r="C15" s="1607">
        <f>'Expenditures 15-22'!K102</f>
        <v>1376788</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1951849</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17436959</v>
      </c>
      <c r="D17" s="1594">
        <f t="shared" si="2"/>
        <v>1446360</v>
      </c>
      <c r="E17" s="1594">
        <f t="shared" si="2"/>
        <v>1951849</v>
      </c>
      <c r="F17" s="1594">
        <f t="shared" si="2"/>
        <v>1379443</v>
      </c>
      <c r="G17" s="1594">
        <f t="shared" si="2"/>
        <v>622236</v>
      </c>
      <c r="H17" s="1594">
        <f t="shared" si="2"/>
        <v>578408</v>
      </c>
      <c r="I17" s="1575"/>
      <c r="J17" s="1594">
        <f>SUM(J12:J16)</f>
        <v>649725</v>
      </c>
      <c r="K17" s="1594">
        <f>SUM(K12:K16)</f>
        <v>664435</v>
      </c>
      <c r="L17" s="325"/>
    </row>
    <row r="18" spans="1:12" ht="15" customHeight="1" thickTop="1" x14ac:dyDescent="0.2">
      <c r="A18" s="1430" t="s">
        <v>1638</v>
      </c>
      <c r="B18" s="1431">
        <v>4180</v>
      </c>
      <c r="C18" s="1606">
        <f t="shared" ref="C18:H18" si="3">C9</f>
        <v>8980802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26417761</v>
      </c>
      <c r="D19" s="1594">
        <f t="shared" si="4"/>
        <v>1446360</v>
      </c>
      <c r="E19" s="1594">
        <f t="shared" si="4"/>
        <v>1951849</v>
      </c>
      <c r="F19" s="1594">
        <f t="shared" si="4"/>
        <v>1379443</v>
      </c>
      <c r="G19" s="1594">
        <f t="shared" si="4"/>
        <v>622236</v>
      </c>
      <c r="H19" s="1594">
        <f t="shared" si="4"/>
        <v>578408</v>
      </c>
      <c r="I19" s="1575"/>
      <c r="J19" s="1594">
        <f>SUM(J17:J18)</f>
        <v>649725</v>
      </c>
      <c r="K19" s="1594">
        <f>SUM(K17:K18)</f>
        <v>664435</v>
      </c>
      <c r="L19" s="325"/>
    </row>
    <row r="20" spans="1:12" ht="16.5" thickTop="1" thickBot="1" x14ac:dyDescent="0.25">
      <c r="A20" s="2232" t="s">
        <v>1639</v>
      </c>
      <c r="B20" s="2233"/>
      <c r="C20" s="1622">
        <f>C8-C17</f>
        <v>128729</v>
      </c>
      <c r="D20" s="1622">
        <f t="shared" ref="D20:K20" si="5">D8-D17</f>
        <v>2701</v>
      </c>
      <c r="E20" s="1622">
        <f t="shared" si="5"/>
        <v>51</v>
      </c>
      <c r="F20" s="1622">
        <f t="shared" si="5"/>
        <v>1452</v>
      </c>
      <c r="G20" s="1622">
        <f t="shared" si="5"/>
        <v>16738</v>
      </c>
      <c r="H20" s="1622">
        <f t="shared" si="5"/>
        <v>-439637</v>
      </c>
      <c r="I20" s="1622">
        <f t="shared" si="5"/>
        <v>153923</v>
      </c>
      <c r="J20" s="1622">
        <f t="shared" si="5"/>
        <v>54</v>
      </c>
      <c r="K20" s="1622">
        <f t="shared" si="5"/>
        <v>-515722</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v>300000</v>
      </c>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300000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300000</v>
      </c>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300000</v>
      </c>
      <c r="J76" s="1624">
        <f t="shared" si="7"/>
        <v>0</v>
      </c>
      <c r="K76" s="1624">
        <f t="shared" si="7"/>
        <v>0</v>
      </c>
      <c r="L76" s="453"/>
    </row>
    <row r="77" spans="1:12" ht="14.25" thickTop="1" thickBot="1" x14ac:dyDescent="0.25">
      <c r="A77" s="2224" t="s">
        <v>1169</v>
      </c>
      <c r="B77" s="2225"/>
      <c r="C77" s="1624">
        <f t="shared" ref="C77:K77" si="8">C44-C76</f>
        <v>0</v>
      </c>
      <c r="D77" s="1624">
        <f t="shared" si="8"/>
        <v>0</v>
      </c>
      <c r="E77" s="1624">
        <f t="shared" si="8"/>
        <v>0</v>
      </c>
      <c r="F77" s="1624">
        <f t="shared" si="8"/>
        <v>0</v>
      </c>
      <c r="G77" s="1624">
        <f t="shared" si="8"/>
        <v>0</v>
      </c>
      <c r="H77" s="1624">
        <f t="shared" si="8"/>
        <v>300000</v>
      </c>
      <c r="I77" s="1624">
        <f t="shared" si="8"/>
        <v>-300000</v>
      </c>
      <c r="J77" s="1624">
        <f t="shared" si="8"/>
        <v>0</v>
      </c>
      <c r="K77" s="1624">
        <f t="shared" si="8"/>
        <v>0</v>
      </c>
      <c r="L77" s="325"/>
    </row>
    <row r="78" spans="1:12" ht="21.75" customHeight="1" thickTop="1" thickBot="1" x14ac:dyDescent="0.25">
      <c r="A78" s="2228" t="s">
        <v>593</v>
      </c>
      <c r="B78" s="2229"/>
      <c r="C78" s="1629">
        <f t="shared" ref="C78:K78" si="9">C20+C77</f>
        <v>128729</v>
      </c>
      <c r="D78" s="1629">
        <f t="shared" si="9"/>
        <v>2701</v>
      </c>
      <c r="E78" s="1629">
        <f t="shared" si="9"/>
        <v>51</v>
      </c>
      <c r="F78" s="1629">
        <f t="shared" si="9"/>
        <v>1452</v>
      </c>
      <c r="G78" s="1629">
        <f t="shared" si="9"/>
        <v>16738</v>
      </c>
      <c r="H78" s="1629">
        <f t="shared" si="9"/>
        <v>-139637</v>
      </c>
      <c r="I78" s="1629">
        <f t="shared" si="9"/>
        <v>-146077</v>
      </c>
      <c r="J78" s="1629">
        <f t="shared" si="9"/>
        <v>54</v>
      </c>
      <c r="K78" s="1629">
        <f t="shared" si="9"/>
        <v>-515722</v>
      </c>
      <c r="L78" s="457"/>
    </row>
    <row r="79" spans="1:12" ht="13.5" thickTop="1" x14ac:dyDescent="0.2">
      <c r="A79" s="1844" t="str">
        <f>"Fund Balances - July 1, "&amp;'AFR20'!E2-1</f>
        <v>Fund Balances - July 1, 2019</v>
      </c>
      <c r="B79" s="458"/>
      <c r="C79" s="1583">
        <v>3455262</v>
      </c>
      <c r="D79" s="1630">
        <v>842314</v>
      </c>
      <c r="E79" s="1630">
        <v>516988</v>
      </c>
      <c r="F79" s="1630">
        <v>611863</v>
      </c>
      <c r="G79" s="1630">
        <v>359924</v>
      </c>
      <c r="H79" s="1630">
        <v>1240947</v>
      </c>
      <c r="I79" s="1630">
        <v>1191442</v>
      </c>
      <c r="J79" s="1630">
        <v>2179</v>
      </c>
      <c r="K79" s="1630">
        <v>852648</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3583991</v>
      </c>
      <c r="D81" s="1594">
        <f>SUM(D78:D80)</f>
        <v>845015</v>
      </c>
      <c r="E81" s="1594">
        <f t="shared" ref="E81:K81" si="10">SUM(E78:E80)</f>
        <v>517039</v>
      </c>
      <c r="F81" s="1594">
        <f t="shared" si="10"/>
        <v>613315</v>
      </c>
      <c r="G81" s="1594">
        <f t="shared" si="10"/>
        <v>376662</v>
      </c>
      <c r="H81" s="1594">
        <f t="shared" si="10"/>
        <v>1101310</v>
      </c>
      <c r="I81" s="1594">
        <f t="shared" si="10"/>
        <v>1045365</v>
      </c>
      <c r="J81" s="1594">
        <f t="shared" si="10"/>
        <v>2233</v>
      </c>
      <c r="K81" s="1594">
        <f t="shared" si="10"/>
        <v>336926</v>
      </c>
      <c r="L81" s="325"/>
    </row>
    <row r="82" spans="1:12" ht="0.75" customHeight="1" thickTop="1" thickBot="1" x14ac:dyDescent="0.25">
      <c r="A82" s="459" t="s">
        <v>340</v>
      </c>
      <c r="B82" s="460"/>
      <c r="C82" s="461">
        <f>(C81-C79)</f>
        <v>128729</v>
      </c>
      <c r="D82" s="461">
        <f t="shared" ref="D82:K82" si="11">(D81-D79)</f>
        <v>2701</v>
      </c>
      <c r="E82" s="461">
        <f t="shared" si="11"/>
        <v>51</v>
      </c>
      <c r="F82" s="461">
        <f t="shared" si="11"/>
        <v>1452</v>
      </c>
      <c r="G82" s="461">
        <f t="shared" si="11"/>
        <v>16738</v>
      </c>
      <c r="H82" s="461">
        <f t="shared" si="11"/>
        <v>-139637</v>
      </c>
      <c r="I82" s="461">
        <f t="shared" si="11"/>
        <v>-146077</v>
      </c>
      <c r="J82" s="461">
        <f t="shared" si="11"/>
        <v>54</v>
      </c>
      <c r="K82" s="461">
        <f t="shared" si="11"/>
        <v>-515722</v>
      </c>
    </row>
    <row r="83" spans="1:12" ht="14.25" hidden="1" thickTop="1" thickBot="1" x14ac:dyDescent="0.25">
      <c r="A83" s="462" t="s">
        <v>341</v>
      </c>
      <c r="B83" s="428"/>
      <c r="C83" s="463">
        <f>C82/C81</f>
        <v>3.5917779927460758E-2</v>
      </c>
      <c r="D83" s="463">
        <f t="shared" ref="D83:K83" si="12">D82/D81</f>
        <v>3.1963929634385188E-3</v>
      </c>
      <c r="E83" s="463">
        <f t="shared" si="12"/>
        <v>9.8638593993876668E-5</v>
      </c>
      <c r="F83" s="463">
        <f t="shared" si="12"/>
        <v>2.3674620708771187E-3</v>
      </c>
      <c r="G83" s="463">
        <f t="shared" si="12"/>
        <v>4.4437718697399792E-2</v>
      </c>
      <c r="H83" s="463">
        <f t="shared" si="12"/>
        <v>-0.126791729848998</v>
      </c>
      <c r="I83" s="463">
        <f t="shared" si="12"/>
        <v>-0.13973779493287034</v>
      </c>
      <c r="J83" s="463">
        <f t="shared" si="12"/>
        <v>2.4182713837886251E-2</v>
      </c>
      <c r="K83" s="463">
        <f t="shared" si="12"/>
        <v>-1.53066845538783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E1" colorId="8" zoomScale="110" zoomScaleNormal="110" zoomScaleSheetLayoutView="75" workbookViewId="0">
      <pane ySplit="2" topLeftCell="A39" activePane="bottomLeft" state="frozen"/>
      <selection pane="bottomLeft" activeCell="F45" sqref="F4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6864921</v>
      </c>
      <c r="D5" s="1586">
        <v>1412535</v>
      </c>
      <c r="E5" s="1573">
        <v>567419</v>
      </c>
      <c r="F5" s="1631">
        <v>565014</v>
      </c>
      <c r="G5" s="1573">
        <f>302090+7566</f>
        <v>309656</v>
      </c>
      <c r="H5" s="1573"/>
      <c r="I5" s="1573">
        <v>141253</v>
      </c>
      <c r="J5" s="1574">
        <v>649285</v>
      </c>
      <c r="K5" s="1573">
        <v>141253</v>
      </c>
    </row>
    <row r="6" spans="1:12" ht="15" x14ac:dyDescent="0.2">
      <c r="A6" s="427" t="s">
        <v>1646</v>
      </c>
      <c r="B6" s="429">
        <v>1130</v>
      </c>
      <c r="C6" s="1573">
        <v>141253</v>
      </c>
      <c r="D6" s="1573"/>
      <c r="E6" s="1580"/>
      <c r="F6" s="1580"/>
      <c r="G6" s="1575"/>
      <c r="H6" s="1575"/>
      <c r="I6" s="1575"/>
      <c r="J6" s="1575"/>
      <c r="K6" s="1575"/>
    </row>
    <row r="7" spans="1:12" x14ac:dyDescent="0.2">
      <c r="A7" s="427" t="s">
        <v>110</v>
      </c>
      <c r="B7" s="471">
        <v>1140</v>
      </c>
      <c r="C7" s="1573">
        <v>113003</v>
      </c>
      <c r="D7" s="1573"/>
      <c r="E7" s="1575"/>
      <c r="F7" s="1574"/>
      <c r="G7" s="1574"/>
      <c r="H7" s="1574"/>
      <c r="I7" s="1575"/>
      <c r="J7" s="1575"/>
      <c r="K7" s="1575"/>
    </row>
    <row r="8" spans="1:12" x14ac:dyDescent="0.2">
      <c r="A8" s="427" t="s">
        <v>410</v>
      </c>
      <c r="B8" s="429">
        <v>1150</v>
      </c>
      <c r="C8" s="1580"/>
      <c r="D8" s="1580"/>
      <c r="E8" s="1582"/>
      <c r="F8" s="1582"/>
      <c r="G8" s="1586">
        <v>309656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7119177</v>
      </c>
      <c r="D12" s="1633">
        <f t="shared" si="0"/>
        <v>1412535</v>
      </c>
      <c r="E12" s="1633">
        <f t="shared" si="0"/>
        <v>567419</v>
      </c>
      <c r="F12" s="1633">
        <f t="shared" si="0"/>
        <v>565014</v>
      </c>
      <c r="G12" s="1633">
        <f t="shared" si="0"/>
        <v>619312</v>
      </c>
      <c r="H12" s="1633">
        <f t="shared" si="0"/>
        <v>0</v>
      </c>
      <c r="I12" s="1633">
        <f t="shared" si="0"/>
        <v>141253</v>
      </c>
      <c r="J12" s="1633">
        <f t="shared" si="0"/>
        <v>649285</v>
      </c>
      <c r="K12" s="1594">
        <f t="shared" si="0"/>
        <v>141253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350</v>
      </c>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235600</v>
      </c>
      <c r="D16" s="1573"/>
      <c r="E16" s="1573"/>
      <c r="F16" s="1573"/>
      <c r="G16" s="1573">
        <v>15000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235950</v>
      </c>
      <c r="D18" s="1635">
        <f t="shared" ref="D18:K18" si="1">SUM(D14:D17)</f>
        <v>0</v>
      </c>
      <c r="E18" s="1635">
        <f t="shared" si="1"/>
        <v>0</v>
      </c>
      <c r="F18" s="1635">
        <f t="shared" si="1"/>
        <v>0</v>
      </c>
      <c r="G18" s="1635">
        <f t="shared" si="1"/>
        <v>15000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v>43808</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v>187034</v>
      </c>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v>10090</v>
      </c>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v>12918</v>
      </c>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253850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v>724</v>
      </c>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7859</v>
      </c>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8583</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60340</v>
      </c>
      <c r="D65" s="1573">
        <v>11409</v>
      </c>
      <c r="E65" s="1573">
        <v>1152</v>
      </c>
      <c r="F65" s="1574">
        <v>6198</v>
      </c>
      <c r="G65" s="1573">
        <v>4662</v>
      </c>
      <c r="H65" s="1573">
        <v>16291</v>
      </c>
      <c r="I65" s="1573">
        <v>12670</v>
      </c>
      <c r="J65" s="1574">
        <v>494</v>
      </c>
      <c r="K65" s="1573">
        <v>7460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60340</v>
      </c>
      <c r="D67" s="1594">
        <f t="shared" ref="D67:K67" si="2">SUM(D65:D66)</f>
        <v>11409</v>
      </c>
      <c r="E67" s="1594">
        <f t="shared" si="2"/>
        <v>1152</v>
      </c>
      <c r="F67" s="1594">
        <f t="shared" si="2"/>
        <v>6198</v>
      </c>
      <c r="G67" s="1594">
        <f t="shared" si="2"/>
        <v>4662</v>
      </c>
      <c r="H67" s="1594">
        <f t="shared" si="2"/>
        <v>16291</v>
      </c>
      <c r="I67" s="1594">
        <f t="shared" si="2"/>
        <v>12670</v>
      </c>
      <c r="J67" s="1594">
        <f t="shared" si="2"/>
        <v>494</v>
      </c>
      <c r="K67" s="1594">
        <f t="shared" si="2"/>
        <v>7460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f>257043-10610-12791+1664</f>
        <v>235306</v>
      </c>
      <c r="D69" s="1575"/>
      <c r="E69" s="1575"/>
      <c r="F69" s="1575"/>
      <c r="G69" s="1575"/>
      <c r="H69" s="1575"/>
      <c r="I69" s="1575"/>
      <c r="J69" s="1575"/>
      <c r="K69" s="1575"/>
    </row>
    <row r="70" spans="1:11" ht="12.75" customHeight="1" x14ac:dyDescent="0.2">
      <c r="A70" s="427" t="s">
        <v>990</v>
      </c>
      <c r="B70" s="429">
        <v>1612</v>
      </c>
      <c r="C70" s="1632">
        <v>7857</v>
      </c>
      <c r="D70" s="1575"/>
      <c r="E70" s="1575"/>
      <c r="F70" s="1575"/>
      <c r="G70" s="1575"/>
      <c r="H70" s="1575"/>
      <c r="I70" s="1575"/>
      <c r="J70" s="1575"/>
      <c r="K70" s="1575"/>
    </row>
    <row r="71" spans="1:11" ht="12.75" customHeight="1" x14ac:dyDescent="0.2">
      <c r="A71" s="427" t="s">
        <v>271</v>
      </c>
      <c r="B71" s="429">
        <v>1613</v>
      </c>
      <c r="C71" s="1632">
        <v>301695</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f>9955-4741</f>
        <v>5214</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550072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38167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53032</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91199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179764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v>135</v>
      </c>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179899</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v>2447</v>
      </c>
      <c r="D95" s="1632"/>
      <c r="E95" s="1617"/>
      <c r="F95" s="1617"/>
      <c r="G95" s="1617"/>
      <c r="H95" s="1617"/>
      <c r="I95" s="1617"/>
      <c r="J95" s="1617"/>
      <c r="K95" s="1617"/>
    </row>
    <row r="96" spans="1:11" ht="12.75" customHeight="1" x14ac:dyDescent="0.2">
      <c r="A96" s="427" t="s">
        <v>388</v>
      </c>
      <c r="B96" s="429">
        <v>1920</v>
      </c>
      <c r="C96" s="1632">
        <v>63969</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v>28689</v>
      </c>
      <c r="D100" s="1598"/>
      <c r="E100" s="1598"/>
      <c r="F100" s="1598"/>
      <c r="G100" s="1598"/>
      <c r="H100" s="1598"/>
      <c r="I100" s="1574"/>
      <c r="J100" s="1598"/>
      <c r="K100" s="1574"/>
    </row>
    <row r="101" spans="1:12" ht="12.75" customHeight="1" x14ac:dyDescent="0.2">
      <c r="A101" s="427" t="s">
        <v>244</v>
      </c>
      <c r="B101" s="429">
        <v>1970</v>
      </c>
      <c r="C101" s="1598">
        <v>5784</v>
      </c>
      <c r="D101" s="1623"/>
      <c r="E101" s="1585"/>
      <c r="F101" s="1623"/>
      <c r="G101" s="1580"/>
      <c r="H101" s="1623"/>
      <c r="I101" s="1575"/>
      <c r="J101" s="1580"/>
      <c r="K101" s="1580"/>
    </row>
    <row r="102" spans="1:12" ht="12.75" customHeight="1" x14ac:dyDescent="0.2">
      <c r="A102" s="427" t="s">
        <v>245</v>
      </c>
      <c r="B102" s="429">
        <v>1980</v>
      </c>
      <c r="C102" s="1598">
        <v>158</v>
      </c>
      <c r="D102" s="1598">
        <v>16974</v>
      </c>
      <c r="E102" s="1598"/>
      <c r="F102" s="1598"/>
      <c r="G102" s="1598"/>
      <c r="H102" s="1598"/>
      <c r="I102" s="1574"/>
      <c r="J102" s="1598"/>
      <c r="K102" s="1574"/>
    </row>
    <row r="103" spans="1:12" ht="12.75" customHeight="1" x14ac:dyDescent="0.2">
      <c r="A103" s="427" t="s">
        <v>342</v>
      </c>
      <c r="B103" s="429">
        <v>1983</v>
      </c>
      <c r="C103" s="1575"/>
      <c r="D103" s="1575"/>
      <c r="E103" s="1639">
        <v>1383329</v>
      </c>
      <c r="F103" s="1575"/>
      <c r="G103" s="1575"/>
      <c r="H103" s="1598">
        <v>72480</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v>29208</v>
      </c>
      <c r="D107" s="1573">
        <v>8143</v>
      </c>
      <c r="E107" s="1573"/>
      <c r="F107" s="1573">
        <v>21914</v>
      </c>
      <c r="G107" s="1573"/>
      <c r="H107" s="1573"/>
      <c r="I107" s="1573"/>
      <c r="J107" s="1574"/>
      <c r="K107" s="1573"/>
    </row>
    <row r="108" spans="1:12" ht="12.75" customHeight="1" thickBot="1" x14ac:dyDescent="0.25">
      <c r="A108" s="1406" t="s">
        <v>484</v>
      </c>
      <c r="B108" s="1408"/>
      <c r="C108" s="1633">
        <f>SUM(C95:C107)</f>
        <v>130255</v>
      </c>
      <c r="D108" s="1633">
        <f t="shared" ref="D108:K108" si="3">SUM(D95:D107)</f>
        <v>25117</v>
      </c>
      <c r="E108" s="1633">
        <f t="shared" si="3"/>
        <v>1383329</v>
      </c>
      <c r="F108" s="1633">
        <f t="shared" si="3"/>
        <v>21914</v>
      </c>
      <c r="G108" s="1633">
        <f t="shared" si="3"/>
        <v>0</v>
      </c>
      <c r="H108" s="1633">
        <f t="shared" si="3"/>
        <v>72480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8620742</v>
      </c>
      <c r="D109" s="1641">
        <f t="shared" si="4"/>
        <v>1449061</v>
      </c>
      <c r="E109" s="1641">
        <f t="shared" si="4"/>
        <v>1951900</v>
      </c>
      <c r="F109" s="1641">
        <f t="shared" si="4"/>
        <v>601709</v>
      </c>
      <c r="G109" s="1641">
        <f t="shared" si="4"/>
        <v>638974</v>
      </c>
      <c r="H109" s="1641">
        <f t="shared" si="4"/>
        <v>88771</v>
      </c>
      <c r="I109" s="1641">
        <f t="shared" si="4"/>
        <v>153923</v>
      </c>
      <c r="J109" s="1641">
        <f t="shared" si="4"/>
        <v>649779</v>
      </c>
      <c r="K109" s="1629">
        <f t="shared" si="4"/>
        <v>148713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7628998</v>
      </c>
      <c r="D117" s="1586"/>
      <c r="E117" s="1573"/>
      <c r="F117" s="1586">
        <v>40000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7628998</v>
      </c>
      <c r="D122" s="1633">
        <f t="shared" si="5"/>
        <v>0</v>
      </c>
      <c r="E122" s="1633">
        <f t="shared" si="5"/>
        <v>0</v>
      </c>
      <c r="F122" s="1633">
        <f t="shared" si="5"/>
        <v>40000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33694</v>
      </c>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33694</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11701</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11701</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2342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24446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554061</v>
      </c>
      <c r="G152" s="1574"/>
      <c r="H152" s="1575"/>
      <c r="I152" s="1575"/>
      <c r="J152" s="1575"/>
      <c r="K152" s="1575"/>
    </row>
    <row r="153" spans="1:11" ht="12.75" customHeight="1" x14ac:dyDescent="0.2">
      <c r="A153" s="427" t="s">
        <v>1050</v>
      </c>
      <c r="B153" s="478">
        <v>3510</v>
      </c>
      <c r="C153" s="1632"/>
      <c r="D153" s="1573"/>
      <c r="E153" s="1640"/>
      <c r="F153" s="1573">
        <v>185125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739186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v>82742</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154925</v>
      </c>
      <c r="D169" s="1658">
        <f t="shared" si="6"/>
        <v>0</v>
      </c>
      <c r="E169" s="1658">
        <f t="shared" si="6"/>
        <v>0</v>
      </c>
      <c r="F169" s="1658">
        <f t="shared" si="6"/>
        <v>739186</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7783923</v>
      </c>
      <c r="D170" s="1641">
        <f t="shared" si="7"/>
        <v>0</v>
      </c>
      <c r="E170" s="1641">
        <f t="shared" si="7"/>
        <v>0</v>
      </c>
      <c r="F170" s="1641">
        <f t="shared" si="7"/>
        <v>779186</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1478</v>
      </c>
      <c r="B172" s="2253"/>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1649</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1648</v>
      </c>
      <c r="B176" s="2261"/>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177350</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v>12919</v>
      </c>
      <c r="D193" s="1575"/>
      <c r="E193" s="1640"/>
      <c r="F193" s="1575"/>
      <c r="G193" s="1664"/>
      <c r="H193" s="1575"/>
      <c r="I193" s="1575"/>
      <c r="J193" s="1575"/>
      <c r="K193" s="1575"/>
    </row>
    <row r="194" spans="1:11" ht="12.75" customHeight="1" x14ac:dyDescent="0.2">
      <c r="A194" s="427" t="s">
        <v>1437</v>
      </c>
      <c r="B194" s="429">
        <v>4225</v>
      </c>
      <c r="C194" s="1632">
        <v>19635</v>
      </c>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209904</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321813</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321813</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16626</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16626</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v>16327</v>
      </c>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503160</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519487</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43671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49522</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1161023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1161023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17565688</v>
      </c>
      <c r="D268" s="1641">
        <f t="shared" si="12"/>
        <v>1449061</v>
      </c>
      <c r="E268" s="1641">
        <f t="shared" si="12"/>
        <v>1951900</v>
      </c>
      <c r="F268" s="1641">
        <f t="shared" si="12"/>
        <v>1380895</v>
      </c>
      <c r="G268" s="1641">
        <f t="shared" si="12"/>
        <v>638974</v>
      </c>
      <c r="H268" s="1641">
        <f t="shared" si="12"/>
        <v>138771</v>
      </c>
      <c r="I268" s="1641">
        <f t="shared" si="12"/>
        <v>153923</v>
      </c>
      <c r="J268" s="1641">
        <f t="shared" si="12"/>
        <v>649779</v>
      </c>
      <c r="K268" s="1629">
        <f t="shared" si="12"/>
        <v>148713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34" activePane="bottomLeft" state="frozen"/>
      <selection pane="bottomLeft" activeCell="D267" sqref="D26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4012940+1046963+2353605+184042</f>
        <v>7597550</v>
      </c>
      <c r="D5" s="1573">
        <f>951468+283139+568088+29874</f>
        <v>1832569</v>
      </c>
      <c r="E5" s="1573">
        <f>1078+2177+15740+200765</f>
        <v>219760</v>
      </c>
      <c r="F5" s="1573">
        <f>106373+37588+50555+65808</f>
        <v>260324</v>
      </c>
      <c r="G5" s="1573">
        <v>99390</v>
      </c>
      <c r="H5" s="1573">
        <v>119</v>
      </c>
      <c r="I5" s="1574"/>
      <c r="J5" s="1574"/>
      <c r="K5" s="1672">
        <f>SUM(C5:J5)</f>
        <v>10009712</v>
      </c>
      <c r="L5" s="1573">
        <v>10020385</v>
      </c>
    </row>
    <row r="6" spans="1:14" x14ac:dyDescent="0.2">
      <c r="A6" s="1274" t="s">
        <v>1419</v>
      </c>
      <c r="B6" s="503" t="s">
        <v>1417</v>
      </c>
      <c r="C6" s="1582"/>
      <c r="D6" s="1582"/>
      <c r="E6" s="1573"/>
      <c r="F6" s="1582"/>
      <c r="G6" s="1582"/>
      <c r="H6" s="1582"/>
      <c r="I6" s="1582"/>
      <c r="J6" s="1582"/>
      <c r="K6" s="1672">
        <f>SUM(C6,E6)</f>
        <v>0</v>
      </c>
      <c r="L6" s="1573">
        <v>2725</v>
      </c>
    </row>
    <row r="7" spans="1:14" x14ac:dyDescent="0.2">
      <c r="A7" s="1274" t="s">
        <v>162</v>
      </c>
      <c r="B7" s="503" t="s">
        <v>961</v>
      </c>
      <c r="C7" s="1574">
        <v>75000</v>
      </c>
      <c r="D7" s="1574">
        <v>24718</v>
      </c>
      <c r="E7" s="1574"/>
      <c r="F7" s="1574">
        <v>2893</v>
      </c>
      <c r="G7" s="1574"/>
      <c r="H7" s="1574"/>
      <c r="I7" s="1574"/>
      <c r="J7" s="1574"/>
      <c r="K7" s="1672">
        <f t="shared" ref="K7:K32" si="0">SUM(C7:J7)</f>
        <v>102611</v>
      </c>
      <c r="L7" s="1573">
        <v>88460</v>
      </c>
    </row>
    <row r="8" spans="1:14" x14ac:dyDescent="0.2">
      <c r="A8" s="1274" t="s">
        <v>163</v>
      </c>
      <c r="B8" s="503">
        <v>1200</v>
      </c>
      <c r="C8" s="1573">
        <v>1065325</v>
      </c>
      <c r="D8" s="1573">
        <v>206341</v>
      </c>
      <c r="E8" s="1573">
        <v>200</v>
      </c>
      <c r="F8" s="1573"/>
      <c r="G8" s="1573"/>
      <c r="H8" s="1573"/>
      <c r="I8" s="1574"/>
      <c r="J8" s="1574"/>
      <c r="K8" s="1672">
        <f t="shared" si="0"/>
        <v>1271866</v>
      </c>
      <c r="L8" s="1573">
        <v>1352550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229735</v>
      </c>
      <c r="D10" s="1573">
        <v>76580</v>
      </c>
      <c r="E10" s="1573"/>
      <c r="F10" s="1573"/>
      <c r="G10" s="1573"/>
      <c r="H10" s="1573"/>
      <c r="I10" s="1574"/>
      <c r="J10" s="1574"/>
      <c r="K10" s="1672">
        <f t="shared" si="0"/>
        <v>306315</v>
      </c>
      <c r="L10" s="1573">
        <v>203000</v>
      </c>
    </row>
    <row r="11" spans="1:14" x14ac:dyDescent="0.2">
      <c r="A11" s="1274" t="s">
        <v>1122</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219008</v>
      </c>
      <c r="D14" s="1573">
        <v>16108</v>
      </c>
      <c r="E14" s="1573">
        <v>47323</v>
      </c>
      <c r="F14" s="1573">
        <v>21967</v>
      </c>
      <c r="G14" s="1573">
        <v>25962</v>
      </c>
      <c r="H14" s="1573"/>
      <c r="I14" s="1574"/>
      <c r="J14" s="1574"/>
      <c r="K14" s="1672">
        <f t="shared" si="0"/>
        <v>330368</v>
      </c>
      <c r="L14" s="1573">
        <v>311350</v>
      </c>
    </row>
    <row r="15" spans="1:14" x14ac:dyDescent="0.2">
      <c r="A15" s="1274" t="s">
        <v>958</v>
      </c>
      <c r="B15" s="503">
        <v>1600</v>
      </c>
      <c r="C15" s="1573">
        <v>6969</v>
      </c>
      <c r="D15" s="1573">
        <v>849</v>
      </c>
      <c r="E15" s="1573"/>
      <c r="F15" s="1573"/>
      <c r="G15" s="1573"/>
      <c r="H15" s="1573"/>
      <c r="I15" s="1574"/>
      <c r="J15" s="1574"/>
      <c r="K15" s="1672">
        <f t="shared" si="0"/>
        <v>7818</v>
      </c>
      <c r="L15" s="1573">
        <v>8250</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38744</v>
      </c>
      <c r="D17" s="1574">
        <v>3133</v>
      </c>
      <c r="E17" s="1574"/>
      <c r="F17" s="1574"/>
      <c r="G17" s="1574"/>
      <c r="H17" s="1574"/>
      <c r="I17" s="1574"/>
      <c r="J17" s="1574"/>
      <c r="K17" s="1672">
        <f t="shared" si="0"/>
        <v>41877</v>
      </c>
      <c r="L17" s="1573">
        <v>92100</v>
      </c>
    </row>
    <row r="18" spans="1:12" x14ac:dyDescent="0.2">
      <c r="A18" s="1274" t="s">
        <v>1080</v>
      </c>
      <c r="B18" s="503">
        <v>1800</v>
      </c>
      <c r="C18" s="1573"/>
      <c r="D18" s="1573"/>
      <c r="E18" s="1573"/>
      <c r="F18" s="1573"/>
      <c r="G18" s="1573"/>
      <c r="H18" s="1573"/>
      <c r="I18" s="1574"/>
      <c r="J18" s="1574"/>
      <c r="K18" s="1672">
        <f t="shared" si="0"/>
        <v>0</v>
      </c>
      <c r="L18" s="1573"/>
    </row>
    <row r="19" spans="1:12" x14ac:dyDescent="0.2">
      <c r="A19" s="1274" t="s">
        <v>133</v>
      </c>
      <c r="B19" s="503">
        <v>1900</v>
      </c>
      <c r="C19" s="1573">
        <f>7636+1395</f>
        <v>9031</v>
      </c>
      <c r="D19" s="1573">
        <v>948</v>
      </c>
      <c r="E19" s="1573"/>
      <c r="F19" s="1573"/>
      <c r="G19" s="1573"/>
      <c r="H19" s="1573"/>
      <c r="I19" s="1574"/>
      <c r="J19" s="1574"/>
      <c r="K19" s="1672">
        <f t="shared" si="0"/>
        <v>9979</v>
      </c>
      <c r="L19" s="1573">
        <v>13600</v>
      </c>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9241362</v>
      </c>
      <c r="D33" s="1674">
        <f t="shared" ref="D33:L33" si="1">SUM(D5:D32)</f>
        <v>2161246</v>
      </c>
      <c r="E33" s="1674">
        <f t="shared" si="1"/>
        <v>267283</v>
      </c>
      <c r="F33" s="1674">
        <f t="shared" si="1"/>
        <v>285184</v>
      </c>
      <c r="G33" s="1674">
        <f t="shared" si="1"/>
        <v>125352</v>
      </c>
      <c r="H33" s="1674">
        <f t="shared" si="1"/>
        <v>119</v>
      </c>
      <c r="I33" s="1674">
        <f t="shared" si="1"/>
        <v>0</v>
      </c>
      <c r="J33" s="1674">
        <f t="shared" si="1"/>
        <v>0</v>
      </c>
      <c r="K33" s="1674">
        <f t="shared" si="1"/>
        <v>12080546</v>
      </c>
      <c r="L33" s="1674">
        <f t="shared" si="1"/>
        <v>12092420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f>202596+1</f>
        <v>202597</v>
      </c>
      <c r="D36" s="1586">
        <v>52765</v>
      </c>
      <c r="E36" s="1586">
        <v>42993</v>
      </c>
      <c r="F36" s="1586">
        <v>101</v>
      </c>
      <c r="G36" s="1586"/>
      <c r="H36" s="1586"/>
      <c r="I36" s="1574"/>
      <c r="J36" s="1574"/>
      <c r="K36" s="1672">
        <f t="shared" ref="K36:K41" si="2">SUM(C36:J36)</f>
        <v>298456</v>
      </c>
      <c r="L36" s="1573">
        <v>274680</v>
      </c>
    </row>
    <row r="37" spans="1:14" x14ac:dyDescent="0.2">
      <c r="A37" s="1274" t="s">
        <v>1083</v>
      </c>
      <c r="B37" s="503">
        <v>2120</v>
      </c>
      <c r="C37" s="1573">
        <v>224283</v>
      </c>
      <c r="D37" s="1573">
        <v>48198</v>
      </c>
      <c r="E37" s="1573"/>
      <c r="F37" s="1573">
        <v>1127</v>
      </c>
      <c r="G37" s="1573"/>
      <c r="H37" s="1573"/>
      <c r="I37" s="1574"/>
      <c r="J37" s="1574"/>
      <c r="K37" s="1672">
        <f t="shared" si="2"/>
        <v>273608</v>
      </c>
      <c r="L37" s="1573">
        <v>294950</v>
      </c>
    </row>
    <row r="38" spans="1:14" x14ac:dyDescent="0.2">
      <c r="A38" s="1274" t="s">
        <v>196</v>
      </c>
      <c r="B38" s="503">
        <v>2130</v>
      </c>
      <c r="C38" s="1573">
        <v>34823</v>
      </c>
      <c r="D38" s="1573">
        <v>14955</v>
      </c>
      <c r="E38" s="1573">
        <v>3912</v>
      </c>
      <c r="F38" s="1573">
        <v>4988</v>
      </c>
      <c r="G38" s="1573"/>
      <c r="H38" s="1573"/>
      <c r="I38" s="1574"/>
      <c r="J38" s="1574"/>
      <c r="K38" s="1672">
        <f t="shared" si="2"/>
        <v>58678</v>
      </c>
      <c r="L38" s="1573">
        <v>51050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1653</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461703</v>
      </c>
      <c r="D42" s="1674">
        <f t="shared" ref="D42:L42" si="3">SUM(D36:D41)</f>
        <v>115918</v>
      </c>
      <c r="E42" s="1674">
        <f t="shared" si="3"/>
        <v>46905</v>
      </c>
      <c r="F42" s="1674">
        <f t="shared" si="3"/>
        <v>6216</v>
      </c>
      <c r="G42" s="1674">
        <f t="shared" si="3"/>
        <v>0</v>
      </c>
      <c r="H42" s="1674">
        <f t="shared" si="3"/>
        <v>0</v>
      </c>
      <c r="I42" s="1674">
        <f t="shared" si="3"/>
        <v>0</v>
      </c>
      <c r="J42" s="1674">
        <f t="shared" si="3"/>
        <v>0</v>
      </c>
      <c r="K42" s="1674">
        <f t="shared" si="3"/>
        <v>630742</v>
      </c>
      <c r="L42" s="1674">
        <f t="shared" si="3"/>
        <v>620680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35298</v>
      </c>
      <c r="D44" s="1586">
        <v>11936</v>
      </c>
      <c r="E44" s="1586">
        <v>16376</v>
      </c>
      <c r="F44" s="1586">
        <v>66189</v>
      </c>
      <c r="G44" s="1586">
        <v>3098</v>
      </c>
      <c r="H44" s="1586"/>
      <c r="I44" s="1574"/>
      <c r="J44" s="1574"/>
      <c r="K44" s="1678">
        <f>SUM(C44:J44)</f>
        <v>132897</v>
      </c>
      <c r="L44" s="1586">
        <v>166500</v>
      </c>
    </row>
    <row r="45" spans="1:14" x14ac:dyDescent="0.2">
      <c r="A45" s="1274" t="s">
        <v>810</v>
      </c>
      <c r="B45" s="503">
        <v>2220</v>
      </c>
      <c r="C45" s="1573">
        <v>116664</v>
      </c>
      <c r="D45" s="1573">
        <v>24999</v>
      </c>
      <c r="E45" s="1573"/>
      <c r="F45" s="1573">
        <v>20116</v>
      </c>
      <c r="G45" s="1573"/>
      <c r="H45" s="1573"/>
      <c r="I45" s="1574"/>
      <c r="J45" s="1574"/>
      <c r="K45" s="1678">
        <f>SUM(C45:J45)</f>
        <v>161779</v>
      </c>
      <c r="L45" s="1573">
        <v>226165</v>
      </c>
    </row>
    <row r="46" spans="1:14" x14ac:dyDescent="0.2">
      <c r="A46" s="1274" t="s">
        <v>811</v>
      </c>
      <c r="B46" s="503">
        <v>2230</v>
      </c>
      <c r="C46" s="1573"/>
      <c r="D46" s="1573"/>
      <c r="E46" s="1573"/>
      <c r="F46" s="1573">
        <v>677</v>
      </c>
      <c r="G46" s="1573"/>
      <c r="H46" s="1573"/>
      <c r="I46" s="1574"/>
      <c r="J46" s="1574"/>
      <c r="K46" s="1678">
        <f>SUM(C46:J46)</f>
        <v>677</v>
      </c>
      <c r="L46" s="1573">
        <v>500</v>
      </c>
    </row>
    <row r="47" spans="1:14" ht="12.75" customHeight="1" thickBot="1" x14ac:dyDescent="0.25">
      <c r="A47" s="1380" t="s">
        <v>557</v>
      </c>
      <c r="B47" s="1381" t="s">
        <v>32</v>
      </c>
      <c r="C47" s="1674">
        <f>SUM(C44:C46)</f>
        <v>151962</v>
      </c>
      <c r="D47" s="1674">
        <f t="shared" ref="D47:K47" si="4">SUM(D44:D46)</f>
        <v>36935</v>
      </c>
      <c r="E47" s="1674">
        <f t="shared" si="4"/>
        <v>16376</v>
      </c>
      <c r="F47" s="1674">
        <f t="shared" si="4"/>
        <v>86982</v>
      </c>
      <c r="G47" s="1674">
        <f t="shared" si="4"/>
        <v>3098</v>
      </c>
      <c r="H47" s="1674">
        <f t="shared" si="4"/>
        <v>0</v>
      </c>
      <c r="I47" s="1674">
        <f t="shared" si="4"/>
        <v>0</v>
      </c>
      <c r="J47" s="1674">
        <f t="shared" si="4"/>
        <v>0</v>
      </c>
      <c r="K47" s="1674">
        <f t="shared" si="4"/>
        <v>295353</v>
      </c>
      <c r="L47" s="1674">
        <f>SUM(L44:L46)</f>
        <v>393165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42709</v>
      </c>
      <c r="F49" s="1586">
        <v>188</v>
      </c>
      <c r="G49" s="1586"/>
      <c r="H49" s="1586">
        <v>7472</v>
      </c>
      <c r="I49" s="1574"/>
      <c r="J49" s="1574"/>
      <c r="K49" s="1678">
        <f>SUM(C49:J49)</f>
        <v>50369</v>
      </c>
      <c r="L49" s="1586">
        <v>142800</v>
      </c>
    </row>
    <row r="50" spans="1:14" x14ac:dyDescent="0.2">
      <c r="A50" s="1274" t="s">
        <v>813</v>
      </c>
      <c r="B50" s="503">
        <v>2320</v>
      </c>
      <c r="C50" s="1573">
        <f>204578-1</f>
        <v>204577</v>
      </c>
      <c r="D50" s="1573">
        <v>31763</v>
      </c>
      <c r="E50" s="1573">
        <v>12758</v>
      </c>
      <c r="F50" s="1573">
        <v>48746</v>
      </c>
      <c r="G50" s="1573"/>
      <c r="H50" s="1573"/>
      <c r="I50" s="1574"/>
      <c r="J50" s="1574"/>
      <c r="K50" s="1678">
        <f>SUM(C50:J50)</f>
        <v>297844</v>
      </c>
      <c r="L50" s="1573">
        <v>352600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204577</v>
      </c>
      <c r="D53" s="1674">
        <f t="shared" ref="D53:L53" si="5">SUM(D49:D52)</f>
        <v>31763</v>
      </c>
      <c r="E53" s="1674">
        <f t="shared" si="5"/>
        <v>55467</v>
      </c>
      <c r="F53" s="1674">
        <f t="shared" si="5"/>
        <v>48934</v>
      </c>
      <c r="G53" s="1674">
        <f t="shared" si="5"/>
        <v>0</v>
      </c>
      <c r="H53" s="1674">
        <f t="shared" si="5"/>
        <v>7472</v>
      </c>
      <c r="I53" s="1674">
        <f t="shared" si="5"/>
        <v>0</v>
      </c>
      <c r="J53" s="1674">
        <f t="shared" si="5"/>
        <v>0</v>
      </c>
      <c r="K53" s="1674">
        <f t="shared" si="5"/>
        <v>348213</v>
      </c>
      <c r="L53" s="1674">
        <f t="shared" si="5"/>
        <v>495400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1030173</v>
      </c>
      <c r="D55" s="1586">
        <v>206712</v>
      </c>
      <c r="E55" s="1586">
        <v>17737</v>
      </c>
      <c r="F55" s="1586">
        <v>20580</v>
      </c>
      <c r="G55" s="1586">
        <v>1140</v>
      </c>
      <c r="H55" s="1586">
        <v>1805</v>
      </c>
      <c r="I55" s="1574"/>
      <c r="J55" s="1574"/>
      <c r="K55" s="1678">
        <f>SUM(C55:J55)</f>
        <v>1278147</v>
      </c>
      <c r="L55" s="1586">
        <v>1268050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1030173</v>
      </c>
      <c r="D57" s="1679">
        <f t="shared" ref="D57:K57" si="6">SUM(D55:D56)</f>
        <v>206712</v>
      </c>
      <c r="E57" s="1679">
        <f t="shared" si="6"/>
        <v>17737</v>
      </c>
      <c r="F57" s="1679">
        <f t="shared" si="6"/>
        <v>20580</v>
      </c>
      <c r="G57" s="1679">
        <f t="shared" si="6"/>
        <v>1140</v>
      </c>
      <c r="H57" s="1679">
        <f t="shared" si="6"/>
        <v>1805</v>
      </c>
      <c r="I57" s="1679">
        <f t="shared" si="6"/>
        <v>0</v>
      </c>
      <c r="J57" s="1679">
        <f t="shared" si="6"/>
        <v>0</v>
      </c>
      <c r="K57" s="1679">
        <f t="shared" si="6"/>
        <v>1278147</v>
      </c>
      <c r="L57" s="1674">
        <f>SUM(L55:L56)</f>
        <v>1268050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182308</v>
      </c>
      <c r="D60" s="1573">
        <v>35739</v>
      </c>
      <c r="E60" s="1573">
        <v>104685</v>
      </c>
      <c r="F60" s="1573">
        <v>3044</v>
      </c>
      <c r="G60" s="1573"/>
      <c r="H60" s="1573">
        <v>15</v>
      </c>
      <c r="I60" s="1574"/>
      <c r="J60" s="1574"/>
      <c r="K60" s="1678">
        <f t="shared" si="7"/>
        <v>325791</v>
      </c>
      <c r="L60" s="1573">
        <v>331385</v>
      </c>
      <c r="M60" s="501"/>
      <c r="N60" s="501"/>
    </row>
    <row r="61" spans="1:14" s="321" customFormat="1" x14ac:dyDescent="0.2">
      <c r="A61" s="1274" t="s">
        <v>195</v>
      </c>
      <c r="B61" s="503">
        <v>2540</v>
      </c>
      <c r="C61" s="1573"/>
      <c r="D61" s="1573"/>
      <c r="E61" s="1573"/>
      <c r="F61" s="1573">
        <v>81815</v>
      </c>
      <c r="G61" s="1573"/>
      <c r="H61" s="1573"/>
      <c r="I61" s="1574"/>
      <c r="J61" s="1574"/>
      <c r="K61" s="1678">
        <f t="shared" si="7"/>
        <v>81815</v>
      </c>
      <c r="L61" s="1573">
        <v>85000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357308</v>
      </c>
      <c r="D63" s="1573">
        <v>26285</v>
      </c>
      <c r="E63" s="1573">
        <v>14296</v>
      </c>
      <c r="F63" s="1573">
        <f>420665+277</f>
        <v>420942</v>
      </c>
      <c r="G63" s="1573">
        <v>29220</v>
      </c>
      <c r="H63" s="1573"/>
      <c r="I63" s="1574"/>
      <c r="J63" s="1574"/>
      <c r="K63" s="1678">
        <f t="shared" si="7"/>
        <v>848051</v>
      </c>
      <c r="L63" s="1573">
        <v>909700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539616</v>
      </c>
      <c r="D65" s="1674">
        <f t="shared" ref="D65:L65" si="8">SUM(D59:D64)</f>
        <v>62024</v>
      </c>
      <c r="E65" s="1674">
        <f t="shared" si="8"/>
        <v>118981</v>
      </c>
      <c r="F65" s="1674">
        <f t="shared" si="8"/>
        <v>505801</v>
      </c>
      <c r="G65" s="1674">
        <f t="shared" si="8"/>
        <v>29220</v>
      </c>
      <c r="H65" s="1674">
        <f t="shared" si="8"/>
        <v>15</v>
      </c>
      <c r="I65" s="1674">
        <f t="shared" si="8"/>
        <v>0</v>
      </c>
      <c r="J65" s="1674">
        <f t="shared" si="8"/>
        <v>0</v>
      </c>
      <c r="K65" s="1674">
        <f t="shared" si="8"/>
        <v>1255657</v>
      </c>
      <c r="L65" s="1674">
        <f t="shared" si="8"/>
        <v>1326085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v>300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300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2388031</v>
      </c>
      <c r="D74" s="1681">
        <f t="shared" ref="D74:K74" si="10">SUM(D42,D47,D53,D57,D65,D72,D73)</f>
        <v>453352</v>
      </c>
      <c r="E74" s="1681">
        <f t="shared" si="10"/>
        <v>255466</v>
      </c>
      <c r="F74" s="1681">
        <f t="shared" si="10"/>
        <v>668513</v>
      </c>
      <c r="G74" s="1681">
        <f t="shared" si="10"/>
        <v>33458</v>
      </c>
      <c r="H74" s="1681">
        <f t="shared" si="10"/>
        <v>9292</v>
      </c>
      <c r="I74" s="1681">
        <f t="shared" si="10"/>
        <v>0</v>
      </c>
      <c r="J74" s="1681">
        <f t="shared" si="10"/>
        <v>0</v>
      </c>
      <c r="K74" s="1681">
        <f t="shared" si="10"/>
        <v>3808112</v>
      </c>
      <c r="L74" s="1681">
        <f>SUM(L42,L47,L53,L57,L65,L72,L73)</f>
        <v>4103680</v>
      </c>
    </row>
    <row r="75" spans="1:14" s="254" customFormat="1" ht="15.75" customHeight="1" thickTop="1" thickBot="1" x14ac:dyDescent="0.25">
      <c r="A75" s="1348" t="s">
        <v>47</v>
      </c>
      <c r="B75" s="1349" t="s">
        <v>571</v>
      </c>
      <c r="C75" s="1649">
        <v>135992</v>
      </c>
      <c r="D75" s="1649">
        <v>28232</v>
      </c>
      <c r="E75" s="1649">
        <v>350</v>
      </c>
      <c r="F75" s="1649">
        <v>6939</v>
      </c>
      <c r="G75" s="1649"/>
      <c r="H75" s="1649"/>
      <c r="I75" s="1627"/>
      <c r="J75" s="1627"/>
      <c r="K75" s="1674">
        <f>SUM(C75:J75)</f>
        <v>171513</v>
      </c>
      <c r="L75" s="1651">
        <v>173500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13300</v>
      </c>
      <c r="I78" s="1582"/>
      <c r="J78" s="1582"/>
      <c r="K78" s="1672">
        <f t="shared" ref="K78:K83" si="11">SUM(C78:J78)</f>
        <v>13300</v>
      </c>
      <c r="L78" s="1586">
        <v>35000</v>
      </c>
    </row>
    <row r="79" spans="1:14" x14ac:dyDescent="0.2">
      <c r="A79" s="1274" t="s">
        <v>301</v>
      </c>
      <c r="B79" s="503">
        <v>4120</v>
      </c>
      <c r="C79" s="1673"/>
      <c r="D79" s="1673"/>
      <c r="E79" s="1573"/>
      <c r="F79" s="1673"/>
      <c r="G79" s="1673"/>
      <c r="H79" s="1573">
        <f>772268+429140</f>
        <v>1201408</v>
      </c>
      <c r="I79" s="1582"/>
      <c r="J79" s="1582"/>
      <c r="K79" s="1672">
        <f t="shared" si="11"/>
        <v>1201408</v>
      </c>
      <c r="L79" s="1573">
        <v>1238000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147040</v>
      </c>
      <c r="I81" s="1582"/>
      <c r="J81" s="1582"/>
      <c r="K81" s="1672">
        <f t="shared" si="11"/>
        <v>147040</v>
      </c>
      <c r="L81" s="1573">
        <v>110000</v>
      </c>
    </row>
    <row r="82" spans="1:12" x14ac:dyDescent="0.2">
      <c r="A82" s="1274" t="s">
        <v>86</v>
      </c>
      <c r="B82" s="503">
        <v>4170</v>
      </c>
      <c r="C82" s="1673"/>
      <c r="D82" s="1673"/>
      <c r="E82" s="1573"/>
      <c r="F82" s="1673"/>
      <c r="G82" s="1673"/>
      <c r="H82" s="1573"/>
      <c r="I82" s="1582"/>
      <c r="J82" s="1582"/>
      <c r="K82" s="1672">
        <f t="shared" si="11"/>
        <v>0</v>
      </c>
      <c r="L82" s="1573">
        <v>20000</v>
      </c>
    </row>
    <row r="83" spans="1:12" x14ac:dyDescent="0.2">
      <c r="A83" s="1278" t="s">
        <v>693</v>
      </c>
      <c r="B83" s="512">
        <v>4190</v>
      </c>
      <c r="C83" s="1673"/>
      <c r="D83" s="1673"/>
      <c r="E83" s="1573"/>
      <c r="F83" s="1673"/>
      <c r="G83" s="1673"/>
      <c r="H83" s="1573">
        <v>15040</v>
      </c>
      <c r="I83" s="1582"/>
      <c r="J83" s="1582"/>
      <c r="K83" s="1672">
        <f t="shared" si="11"/>
        <v>15040</v>
      </c>
      <c r="L83" s="1573"/>
    </row>
    <row r="84" spans="1:12" ht="13.5" thickBot="1" x14ac:dyDescent="0.25">
      <c r="A84" s="1380" t="s">
        <v>1471</v>
      </c>
      <c r="B84" s="1385">
        <v>4100</v>
      </c>
      <c r="C84" s="1673"/>
      <c r="D84" s="1673"/>
      <c r="E84" s="1674">
        <f>SUM(E78:E83)</f>
        <v>0</v>
      </c>
      <c r="F84" s="1673"/>
      <c r="G84" s="1673"/>
      <c r="H84" s="1674">
        <f>SUM(H78:H83)</f>
        <v>1376788</v>
      </c>
      <c r="I84" s="1582"/>
      <c r="J84" s="1582"/>
      <c r="K84" s="1674">
        <f>SUM(K78:K83)</f>
        <v>1376788</v>
      </c>
      <c r="L84" s="1674">
        <f>SUM(L78:L83)</f>
        <v>1403000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1474</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0</v>
      </c>
      <c r="F102" s="1673"/>
      <c r="G102" s="1673"/>
      <c r="H102" s="1681">
        <f>SUM(H84,H92,H100,H101)</f>
        <v>1376788</v>
      </c>
      <c r="I102" s="1582"/>
      <c r="J102" s="1582"/>
      <c r="K102" s="1681">
        <f>SUM(K84,K92,K100,K101)</f>
        <v>1376788</v>
      </c>
      <c r="L102" s="1681">
        <f>SUM(L84,L92,L100,L101)</f>
        <v>1403000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11765385</v>
      </c>
      <c r="D114" s="1674">
        <f t="shared" ref="D114:K114" si="13">SUM(D33,D74,D75,D102,D112,D113)</f>
        <v>2642830</v>
      </c>
      <c r="E114" s="1674">
        <f t="shared" si="13"/>
        <v>523099</v>
      </c>
      <c r="F114" s="1674">
        <f t="shared" si="13"/>
        <v>960636</v>
      </c>
      <c r="G114" s="1674">
        <f t="shared" si="13"/>
        <v>158810</v>
      </c>
      <c r="H114" s="1674">
        <f>SUM(H33,H74,H75,H102,H112,H113)</f>
        <v>1386199</v>
      </c>
      <c r="I114" s="1674">
        <f t="shared" si="13"/>
        <v>0</v>
      </c>
      <c r="J114" s="1674">
        <f t="shared" si="13"/>
        <v>0</v>
      </c>
      <c r="K114" s="1674">
        <f t="shared" si="13"/>
        <v>17436959</v>
      </c>
      <c r="L114" s="1674">
        <f>SUM(L33,L74,L75,L102,L112,L113)</f>
        <v>17772600</v>
      </c>
    </row>
    <row r="115" spans="1:14" ht="13.5" thickTop="1" x14ac:dyDescent="0.2">
      <c r="A115" s="2287" t="s">
        <v>989</v>
      </c>
      <c r="B115" s="2288"/>
      <c r="C115" s="1675"/>
      <c r="D115" s="1675"/>
      <c r="E115" s="1675"/>
      <c r="F115" s="1675"/>
      <c r="G115" s="1675"/>
      <c r="H115" s="1675"/>
      <c r="I115" s="1675"/>
      <c r="J115" s="1675"/>
      <c r="K115" s="1689">
        <f>'Revenues 9-14'!C268-'Expenditures 15-22'!K114</f>
        <v>128729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502057</v>
      </c>
      <c r="D124" s="1573">
        <v>93491</v>
      </c>
      <c r="E124" s="1573">
        <v>239161</v>
      </c>
      <c r="F124" s="1573">
        <v>589083</v>
      </c>
      <c r="G124" s="1573">
        <v>22568</v>
      </c>
      <c r="H124" s="1573"/>
      <c r="I124" s="1574"/>
      <c r="J124" s="1574"/>
      <c r="K124" s="1674">
        <f>SUM(C124:J124)</f>
        <v>1446360</v>
      </c>
      <c r="L124" s="1573">
        <v>1473500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10500</v>
      </c>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502057</v>
      </c>
      <c r="D127" s="1674">
        <f t="shared" ref="D127:L127" si="14">SUM(D122:D126)</f>
        <v>93491</v>
      </c>
      <c r="E127" s="1674">
        <f t="shared" si="14"/>
        <v>239161</v>
      </c>
      <c r="F127" s="1674">
        <f t="shared" si="14"/>
        <v>589083</v>
      </c>
      <c r="G127" s="1674">
        <f t="shared" si="14"/>
        <v>22568</v>
      </c>
      <c r="H127" s="1674">
        <f t="shared" si="14"/>
        <v>0</v>
      </c>
      <c r="I127" s="1674">
        <f t="shared" si="14"/>
        <v>0</v>
      </c>
      <c r="J127" s="1674">
        <f t="shared" si="14"/>
        <v>0</v>
      </c>
      <c r="K127" s="1674">
        <f t="shared" si="14"/>
        <v>1446360</v>
      </c>
      <c r="L127" s="1674">
        <f t="shared" si="14"/>
        <v>1484000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502057</v>
      </c>
      <c r="D129" s="1681">
        <f t="shared" ref="D129:L129" si="15">SUM(D120,D127,D128)</f>
        <v>93491</v>
      </c>
      <c r="E129" s="1681">
        <f t="shared" si="15"/>
        <v>239161</v>
      </c>
      <c r="F129" s="1681">
        <f t="shared" si="15"/>
        <v>589083</v>
      </c>
      <c r="G129" s="1681">
        <f t="shared" si="15"/>
        <v>22568</v>
      </c>
      <c r="H129" s="1681">
        <f t="shared" si="15"/>
        <v>0</v>
      </c>
      <c r="I129" s="1681">
        <f t="shared" si="15"/>
        <v>0</v>
      </c>
      <c r="J129" s="1681">
        <f t="shared" si="15"/>
        <v>0</v>
      </c>
      <c r="K129" s="1681">
        <f t="shared" si="15"/>
        <v>1446360</v>
      </c>
      <c r="L129" s="1681">
        <f t="shared" si="15"/>
        <v>1484000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502057</v>
      </c>
      <c r="D151" s="1674">
        <f t="shared" ref="D151:K151" si="16">SUM(D129,D130,D139,D149,D150)</f>
        <v>93491</v>
      </c>
      <c r="E151" s="1674">
        <f t="shared" si="16"/>
        <v>239161</v>
      </c>
      <c r="F151" s="1674">
        <f t="shared" si="16"/>
        <v>589083</v>
      </c>
      <c r="G151" s="1674">
        <f t="shared" si="16"/>
        <v>22568</v>
      </c>
      <c r="H151" s="1674">
        <f t="shared" si="16"/>
        <v>0</v>
      </c>
      <c r="I151" s="1674">
        <f t="shared" si="16"/>
        <v>0</v>
      </c>
      <c r="J151" s="1674">
        <f t="shared" si="16"/>
        <v>0</v>
      </c>
      <c r="K151" s="1674">
        <f t="shared" si="16"/>
        <v>1446360</v>
      </c>
      <c r="L151" s="1674">
        <f>SUM(L129,L130,L139,L149,L150)</f>
        <v>1484000</v>
      </c>
    </row>
    <row r="152" spans="1:14" ht="12.75" customHeight="1" thickTop="1" x14ac:dyDescent="0.2">
      <c r="A152" s="2280" t="s">
        <v>1170</v>
      </c>
      <c r="B152" s="2281"/>
      <c r="C152" s="1675"/>
      <c r="D152" s="1675"/>
      <c r="E152" s="1675"/>
      <c r="F152" s="1675"/>
      <c r="G152" s="1675"/>
      <c r="H152" s="1675"/>
      <c r="I152" s="1675"/>
      <c r="J152" s="1673"/>
      <c r="K152" s="1689">
        <f>'Revenues 9-14'!D268-'Expenditures 15-22'!K151</f>
        <v>2701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1299349</v>
      </c>
      <c r="I169" s="1673"/>
      <c r="J169" s="1673"/>
      <c r="K169" s="1672">
        <f>SUM(C169:H169)</f>
        <v>1299349</v>
      </c>
      <c r="L169" s="1695">
        <v>1306000</v>
      </c>
    </row>
    <row r="170" spans="1:14" ht="33.75" customHeight="1" x14ac:dyDescent="0.2">
      <c r="A170" s="543" t="s">
        <v>1654</v>
      </c>
      <c r="B170" s="545" t="s">
        <v>31</v>
      </c>
      <c r="C170" s="1673"/>
      <c r="D170" s="1673"/>
      <c r="E170" s="1673"/>
      <c r="F170" s="1673"/>
      <c r="G170" s="1673"/>
      <c r="H170" s="1646">
        <v>650000</v>
      </c>
      <c r="I170" s="1673"/>
      <c r="J170" s="1673"/>
      <c r="K170" s="1672">
        <f>SUM(C170:J170)</f>
        <v>650000</v>
      </c>
      <c r="L170" s="1646">
        <v>650000</v>
      </c>
    </row>
    <row r="171" spans="1:14" ht="15.75" customHeight="1" x14ac:dyDescent="0.2">
      <c r="A171" s="507" t="s">
        <v>761</v>
      </c>
      <c r="B171" s="546" t="s">
        <v>84</v>
      </c>
      <c r="C171" s="1673"/>
      <c r="D171" s="1673"/>
      <c r="E171" s="1573"/>
      <c r="F171" s="1673"/>
      <c r="G171" s="1673"/>
      <c r="H171" s="1646">
        <v>2500</v>
      </c>
      <c r="I171" s="1582"/>
      <c r="J171" s="1673"/>
      <c r="K171" s="1672">
        <f>SUM(C171:J171)</f>
        <v>2500</v>
      </c>
      <c r="L171" s="1646">
        <v>2500</v>
      </c>
    </row>
    <row r="172" spans="1:14" ht="12.75" customHeight="1" thickBot="1" x14ac:dyDescent="0.25">
      <c r="A172" s="1380" t="s">
        <v>633</v>
      </c>
      <c r="B172" s="1381" t="s">
        <v>489</v>
      </c>
      <c r="C172" s="1673"/>
      <c r="D172" s="1673"/>
      <c r="E172" s="1681">
        <f>SUM(E168,E169,E170,E171)</f>
        <v>0</v>
      </c>
      <c r="F172" s="1673"/>
      <c r="G172" s="1673"/>
      <c r="H172" s="1681">
        <f>SUM(H168,H169,H170,H171)</f>
        <v>1951849</v>
      </c>
      <c r="I172" s="1684"/>
      <c r="J172" s="1673"/>
      <c r="K172" s="1681">
        <f>SUM(K168,K169,K170,K171)</f>
        <v>1951849</v>
      </c>
      <c r="L172" s="1681">
        <f>SUM(L168,L169,L170,L171)</f>
        <v>1958500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1951849</v>
      </c>
      <c r="I174" s="1684"/>
      <c r="J174" s="1673"/>
      <c r="K174" s="1681">
        <f>SUM(K160,K172,K173)</f>
        <v>1951849</v>
      </c>
      <c r="L174" s="1681">
        <f>SUM(L160,L172,L173)</f>
        <v>1958500</v>
      </c>
    </row>
    <row r="175" spans="1:14" ht="13.5" thickTop="1" x14ac:dyDescent="0.2">
      <c r="A175" s="2287" t="s">
        <v>989</v>
      </c>
      <c r="B175" s="2288"/>
      <c r="C175" s="1673"/>
      <c r="D175" s="1673"/>
      <c r="E175" s="1673"/>
      <c r="F175" s="1673"/>
      <c r="G175" s="1673"/>
      <c r="H175" s="1675"/>
      <c r="I175" s="1673"/>
      <c r="J175" s="1673"/>
      <c r="K175" s="1689">
        <f>'Revenues 9-14'!E268-'Expenditures 15-22'!K174</f>
        <v>51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624800</v>
      </c>
      <c r="D182" s="1573">
        <v>45476</v>
      </c>
      <c r="E182" s="1573">
        <v>21386</v>
      </c>
      <c r="F182" s="1573">
        <v>145519</v>
      </c>
      <c r="G182" s="1573">
        <v>542262</v>
      </c>
      <c r="H182" s="1573"/>
      <c r="I182" s="1574"/>
      <c r="J182" s="1574"/>
      <c r="K182" s="1672">
        <f>SUM(C182:J182)</f>
        <v>1379443</v>
      </c>
      <c r="L182" s="1573">
        <v>1385000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624800</v>
      </c>
      <c r="D184" s="1681">
        <f t="shared" ref="D184:J184" si="17">SUM(D180,D182,D183)</f>
        <v>45476</v>
      </c>
      <c r="E184" s="1681">
        <f t="shared" si="17"/>
        <v>21386</v>
      </c>
      <c r="F184" s="1681">
        <f t="shared" si="17"/>
        <v>145519</v>
      </c>
      <c r="G184" s="1681">
        <f t="shared" si="17"/>
        <v>542262</v>
      </c>
      <c r="H184" s="1681">
        <f t="shared" si="17"/>
        <v>0</v>
      </c>
      <c r="I184" s="1681">
        <f t="shared" si="17"/>
        <v>0</v>
      </c>
      <c r="J184" s="1681">
        <f t="shared" si="17"/>
        <v>0</v>
      </c>
      <c r="K184" s="1681">
        <f>SUM(K180,K182,K183)</f>
        <v>1379443</v>
      </c>
      <c r="L184" s="1681">
        <f>SUM(L180, L182:L183)</f>
        <v>1385000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1655</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624800</v>
      </c>
      <c r="D210" s="1674">
        <f>SUM(D184,D185)</f>
        <v>45476</v>
      </c>
      <c r="E210" s="1674">
        <f>SUM(E184,E185,E196)</f>
        <v>21386</v>
      </c>
      <c r="F210" s="1674">
        <f>SUM(F184,F185)</f>
        <v>145519</v>
      </c>
      <c r="G210" s="1674">
        <f>SUM(G184,G185)</f>
        <v>542262</v>
      </c>
      <c r="H210" s="1674">
        <f>SUM(H184,H185,H196,H208,H209)</f>
        <v>0</v>
      </c>
      <c r="I210" s="1674">
        <f>SUM(I184,I185)</f>
        <v>0</v>
      </c>
      <c r="J210" s="1674">
        <f>SUM(J184,J185)</f>
        <v>0</v>
      </c>
      <c r="K210" s="1672">
        <f>SUM(K184,K185,K196,K208,K209)</f>
        <v>1379443</v>
      </c>
      <c r="L210" s="1674">
        <f>SUM(L184,L185,L196,L208,L209)</f>
        <v>1385000</v>
      </c>
    </row>
    <row r="211" spans="1:14" ht="13.5" thickTop="1" x14ac:dyDescent="0.2">
      <c r="A211" s="2287" t="s">
        <v>989</v>
      </c>
      <c r="B211" s="2288"/>
      <c r="C211" s="1675"/>
      <c r="D211" s="1675"/>
      <c r="E211" s="1675"/>
      <c r="F211" s="1675"/>
      <c r="G211" s="1675"/>
      <c r="H211" s="1675"/>
      <c r="I211" s="1673"/>
      <c r="J211" s="1673"/>
      <c r="K211" s="1689">
        <f>'Revenues 9-14'!F268-'Expenditures 15-22'!K210</f>
        <v>1452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121899</v>
      </c>
      <c r="E215" s="1673"/>
      <c r="F215" s="1673"/>
      <c r="G215" s="1673"/>
      <c r="H215" s="1673"/>
      <c r="I215" s="1673"/>
      <c r="J215" s="1673"/>
      <c r="K215" s="1672">
        <f>D215</f>
        <v>121899</v>
      </c>
      <c r="L215" s="1573">
        <v>119100</v>
      </c>
    </row>
    <row r="216" spans="1:14" x14ac:dyDescent="0.2">
      <c r="A216" s="1274" t="s">
        <v>162</v>
      </c>
      <c r="B216" s="503" t="s">
        <v>961</v>
      </c>
      <c r="C216" s="1673"/>
      <c r="D216" s="1574">
        <v>3918</v>
      </c>
      <c r="E216" s="1673"/>
      <c r="F216" s="1673"/>
      <c r="G216" s="1673"/>
      <c r="H216" s="1673"/>
      <c r="I216" s="1673"/>
      <c r="J216" s="1673"/>
      <c r="K216" s="1672">
        <f t="shared" ref="K216:K228" si="19">D216</f>
        <v>3918</v>
      </c>
      <c r="L216" s="1573">
        <v>3900</v>
      </c>
    </row>
    <row r="217" spans="1:14" x14ac:dyDescent="0.2">
      <c r="A217" s="1274" t="s">
        <v>163</v>
      </c>
      <c r="B217" s="503">
        <v>1200</v>
      </c>
      <c r="C217" s="1673"/>
      <c r="D217" s="1573">
        <v>48355</v>
      </c>
      <c r="E217" s="1673"/>
      <c r="F217" s="1673"/>
      <c r="G217" s="1673"/>
      <c r="H217" s="1673"/>
      <c r="I217" s="1673"/>
      <c r="J217" s="1673"/>
      <c r="K217" s="1672">
        <f t="shared" si="19"/>
        <v>48355</v>
      </c>
      <c r="L217" s="1573">
        <v>48100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3673</v>
      </c>
      <c r="E219" s="1673"/>
      <c r="F219" s="1673"/>
      <c r="G219" s="1673"/>
      <c r="H219" s="1673"/>
      <c r="I219" s="1673"/>
      <c r="J219" s="1673"/>
      <c r="K219" s="1672">
        <f t="shared" si="19"/>
        <v>3673</v>
      </c>
      <c r="L219" s="1573">
        <v>2100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7815</v>
      </c>
      <c r="E223" s="1673"/>
      <c r="F223" s="1673"/>
      <c r="G223" s="1673"/>
      <c r="H223" s="1673"/>
      <c r="I223" s="1673"/>
      <c r="J223" s="1673"/>
      <c r="K223" s="1672">
        <f t="shared" si="19"/>
        <v>7815</v>
      </c>
      <c r="L223" s="1573">
        <v>7900</v>
      </c>
    </row>
    <row r="224" spans="1:14" x14ac:dyDescent="0.2">
      <c r="A224" s="1274" t="s">
        <v>958</v>
      </c>
      <c r="B224" s="503">
        <v>1600</v>
      </c>
      <c r="C224" s="1673"/>
      <c r="D224" s="1573">
        <v>100</v>
      </c>
      <c r="E224" s="1673"/>
      <c r="F224" s="1673"/>
      <c r="G224" s="1673"/>
      <c r="H224" s="1673"/>
      <c r="I224" s="1673"/>
      <c r="J224" s="1673"/>
      <c r="K224" s="1672">
        <f t="shared" si="19"/>
        <v>100</v>
      </c>
      <c r="L224" s="1573">
        <v>100</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556</v>
      </c>
      <c r="E226" s="1673"/>
      <c r="F226" s="1673"/>
      <c r="G226" s="1673"/>
      <c r="H226" s="1673"/>
      <c r="I226" s="1673"/>
      <c r="J226" s="1673"/>
      <c r="K226" s="1672">
        <f t="shared" si="19"/>
        <v>556</v>
      </c>
      <c r="L226" s="1573">
        <v>1200</v>
      </c>
    </row>
    <row r="227" spans="1:12" x14ac:dyDescent="0.2">
      <c r="A227" s="1274" t="s">
        <v>1080</v>
      </c>
      <c r="B227" s="503">
        <v>1800</v>
      </c>
      <c r="C227" s="1673"/>
      <c r="D227" s="1573"/>
      <c r="E227" s="1673"/>
      <c r="F227" s="1673"/>
      <c r="G227" s="1673"/>
      <c r="H227" s="1673"/>
      <c r="I227" s="1673"/>
      <c r="J227" s="1673"/>
      <c r="K227" s="1672">
        <f t="shared" si="19"/>
        <v>0</v>
      </c>
      <c r="L227" s="1573"/>
    </row>
    <row r="228" spans="1:12" x14ac:dyDescent="0.2">
      <c r="A228" s="1274" t="s">
        <v>1081</v>
      </c>
      <c r="B228" s="503">
        <v>1900</v>
      </c>
      <c r="C228" s="1673"/>
      <c r="D228" s="1573">
        <v>137</v>
      </c>
      <c r="E228" s="1673"/>
      <c r="F228" s="1673"/>
      <c r="G228" s="1673"/>
      <c r="H228" s="1673"/>
      <c r="I228" s="1673"/>
      <c r="J228" s="1673"/>
      <c r="K228" s="1672">
        <f t="shared" si="19"/>
        <v>137</v>
      </c>
      <c r="L228" s="1573">
        <v>300</v>
      </c>
    </row>
    <row r="229" spans="1:12" ht="12.75" customHeight="1" thickBot="1" x14ac:dyDescent="0.25">
      <c r="A229" s="1380" t="s">
        <v>710</v>
      </c>
      <c r="B229" s="1383" t="s">
        <v>566</v>
      </c>
      <c r="C229" s="1673"/>
      <c r="D229" s="1674">
        <f>SUM(D215:D228)</f>
        <v>186453</v>
      </c>
      <c r="E229" s="1673"/>
      <c r="F229" s="1673"/>
      <c r="G229" s="1673"/>
      <c r="H229" s="1673"/>
      <c r="I229" s="1673"/>
      <c r="J229" s="1673"/>
      <c r="K229" s="1674">
        <f>SUM(K215:K228)</f>
        <v>186453</v>
      </c>
      <c r="L229" s="1674">
        <f>SUM(L215:L228)</f>
        <v>182700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5072</v>
      </c>
      <c r="E232" s="1673"/>
      <c r="F232" s="1673"/>
      <c r="G232" s="1673"/>
      <c r="H232" s="1673"/>
      <c r="I232" s="1673"/>
      <c r="J232" s="1673"/>
      <c r="K232" s="1672">
        <f t="shared" ref="K232:K237" si="20">D232</f>
        <v>5072</v>
      </c>
      <c r="L232" s="1573">
        <v>4700</v>
      </c>
    </row>
    <row r="233" spans="1:12" x14ac:dyDescent="0.2">
      <c r="A233" s="1274" t="s">
        <v>1083</v>
      </c>
      <c r="B233" s="503">
        <v>2120</v>
      </c>
      <c r="C233" s="1673"/>
      <c r="D233" s="1573">
        <v>9971</v>
      </c>
      <c r="E233" s="1673"/>
      <c r="F233" s="1673"/>
      <c r="G233" s="1673"/>
      <c r="H233" s="1673"/>
      <c r="I233" s="1673"/>
      <c r="J233" s="1673"/>
      <c r="K233" s="1672">
        <f t="shared" si="20"/>
        <v>9971</v>
      </c>
      <c r="L233" s="1573">
        <v>6600</v>
      </c>
    </row>
    <row r="234" spans="1:12" x14ac:dyDescent="0.2">
      <c r="A234" s="1274" t="s">
        <v>196</v>
      </c>
      <c r="B234" s="503">
        <v>2130</v>
      </c>
      <c r="C234" s="1673"/>
      <c r="D234" s="1573">
        <v>3577</v>
      </c>
      <c r="E234" s="1673"/>
      <c r="F234" s="1673"/>
      <c r="G234" s="1673"/>
      <c r="H234" s="1673"/>
      <c r="I234" s="1673"/>
      <c r="J234" s="1673"/>
      <c r="K234" s="1672">
        <f t="shared" si="20"/>
        <v>3577</v>
      </c>
      <c r="L234" s="1573">
        <v>3800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18620</v>
      </c>
      <c r="E238" s="1673"/>
      <c r="F238" s="1673"/>
      <c r="G238" s="1673"/>
      <c r="H238" s="1673"/>
      <c r="I238" s="1673"/>
      <c r="J238" s="1673"/>
      <c r="K238" s="1674">
        <f>SUM(K232:K237)</f>
        <v>18620</v>
      </c>
      <c r="L238" s="1674">
        <f>SUM(L232:L237)</f>
        <v>15100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700</v>
      </c>
    </row>
    <row r="241" spans="1:12" x14ac:dyDescent="0.2">
      <c r="A241" s="1274" t="s">
        <v>810</v>
      </c>
      <c r="B241" s="503">
        <v>2220</v>
      </c>
      <c r="C241" s="1673"/>
      <c r="D241" s="1573">
        <v>7626</v>
      </c>
      <c r="E241" s="1673"/>
      <c r="F241" s="1673"/>
      <c r="G241" s="1673"/>
      <c r="H241" s="1673"/>
      <c r="I241" s="1673"/>
      <c r="J241" s="1673"/>
      <c r="K241" s="1678">
        <f>D241</f>
        <v>7626</v>
      </c>
      <c r="L241" s="1573">
        <v>8400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7626</v>
      </c>
      <c r="E243" s="1673"/>
      <c r="F243" s="1673"/>
      <c r="G243" s="1673"/>
      <c r="H243" s="1673"/>
      <c r="I243" s="1673"/>
      <c r="J243" s="1673"/>
      <c r="K243" s="1674">
        <f>SUM(K240:K242)</f>
        <v>7626</v>
      </c>
      <c r="L243" s="1674">
        <f>SUM(L240:L242)</f>
        <v>9100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100000</v>
      </c>
      <c r="E245" s="1673"/>
      <c r="F245" s="1673"/>
      <c r="G245" s="1673"/>
      <c r="H245" s="1673"/>
      <c r="I245" s="1673"/>
      <c r="J245" s="1673"/>
      <c r="K245" s="1678">
        <f>D245</f>
        <v>100000</v>
      </c>
      <c r="L245" s="1586">
        <v>88000</v>
      </c>
    </row>
    <row r="246" spans="1:12" x14ac:dyDescent="0.2">
      <c r="A246" s="1274" t="s">
        <v>813</v>
      </c>
      <c r="B246" s="503">
        <v>2320</v>
      </c>
      <c r="C246" s="1673"/>
      <c r="D246" s="1573">
        <v>15132</v>
      </c>
      <c r="E246" s="1673"/>
      <c r="F246" s="1673"/>
      <c r="G246" s="1673"/>
      <c r="H246" s="1673"/>
      <c r="I246" s="1673"/>
      <c r="J246" s="1673"/>
      <c r="K246" s="1678">
        <f t="shared" ref="K246:K256" si="21">D246</f>
        <v>15132</v>
      </c>
      <c r="L246" s="1573">
        <v>15800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115132</v>
      </c>
      <c r="E257" s="1673"/>
      <c r="F257" s="1673"/>
      <c r="G257" s="1673"/>
      <c r="H257" s="1673"/>
      <c r="I257" s="1673"/>
      <c r="J257" s="1673"/>
      <c r="K257" s="1674">
        <f>SUM(K245:K256)</f>
        <v>115132</v>
      </c>
      <c r="L257" s="1674">
        <f>SUM(L245:L256)</f>
        <v>103800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38823</v>
      </c>
      <c r="E259" s="1673"/>
      <c r="F259" s="1673"/>
      <c r="G259" s="1673"/>
      <c r="H259" s="1673"/>
      <c r="I259" s="1673"/>
      <c r="J259" s="1673"/>
      <c r="K259" s="1678">
        <f>D259</f>
        <v>38823</v>
      </c>
      <c r="L259" s="1586">
        <v>42200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38823</v>
      </c>
      <c r="E261" s="1673"/>
      <c r="F261" s="1673"/>
      <c r="G261" s="1673"/>
      <c r="H261" s="1673"/>
      <c r="I261" s="1673"/>
      <c r="J261" s="1673"/>
      <c r="K261" s="1674">
        <f>SUM(K259:K260)</f>
        <v>38823</v>
      </c>
      <c r="L261" s="1674">
        <f>SUM(L259:L260)</f>
        <v>42200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11676</v>
      </c>
      <c r="E264" s="1673"/>
      <c r="F264" s="1673"/>
      <c r="G264" s="1673"/>
      <c r="H264" s="1673"/>
      <c r="I264" s="1673"/>
      <c r="J264" s="1673"/>
      <c r="K264" s="1678">
        <f t="shared" ref="K264:K269" si="22">D264</f>
        <v>11676</v>
      </c>
      <c r="L264" s="1573">
        <v>17400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88957</v>
      </c>
      <c r="E266" s="1673"/>
      <c r="F266" s="1673"/>
      <c r="G266" s="1673"/>
      <c r="H266" s="1673"/>
      <c r="I266" s="1673"/>
      <c r="J266" s="1673"/>
      <c r="K266" s="1678">
        <f t="shared" si="22"/>
        <v>88957</v>
      </c>
      <c r="L266" s="1573">
        <v>104400</v>
      </c>
    </row>
    <row r="267" spans="1:14" x14ac:dyDescent="0.2">
      <c r="A267" s="1274" t="s">
        <v>947</v>
      </c>
      <c r="B267" s="503">
        <v>2550</v>
      </c>
      <c r="C267" s="1673"/>
      <c r="D267" s="1573">
        <v>88985</v>
      </c>
      <c r="E267" s="1673"/>
      <c r="F267" s="1673"/>
      <c r="G267" s="1673"/>
      <c r="H267" s="1673"/>
      <c r="I267" s="1673"/>
      <c r="J267" s="1673"/>
      <c r="K267" s="1678">
        <f t="shared" si="22"/>
        <v>88985</v>
      </c>
      <c r="L267" s="1573">
        <v>97400</v>
      </c>
    </row>
    <row r="268" spans="1:14" x14ac:dyDescent="0.2">
      <c r="A268" s="1274" t="s">
        <v>100</v>
      </c>
      <c r="B268" s="503">
        <v>2560</v>
      </c>
      <c r="C268" s="1673"/>
      <c r="D268" s="1573">
        <v>47473</v>
      </c>
      <c r="E268" s="1673"/>
      <c r="F268" s="1673"/>
      <c r="G268" s="1673"/>
      <c r="H268" s="1673"/>
      <c r="I268" s="1673"/>
      <c r="J268" s="1673"/>
      <c r="K268" s="1678">
        <f t="shared" si="22"/>
        <v>47473</v>
      </c>
      <c r="L268" s="1573">
        <v>51100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237091</v>
      </c>
      <c r="E270" s="1673"/>
      <c r="F270" s="1673"/>
      <c r="G270" s="1673"/>
      <c r="H270" s="1673"/>
      <c r="I270" s="1673"/>
      <c r="J270" s="1673"/>
      <c r="K270" s="1674">
        <f>SUM(K263:K269)</f>
        <v>237091</v>
      </c>
      <c r="L270" s="1674">
        <f>SUM(L263:L269)</f>
        <v>270300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417292</v>
      </c>
      <c r="E279" s="1673"/>
      <c r="F279" s="1673"/>
      <c r="G279" s="1673"/>
      <c r="H279" s="1673"/>
      <c r="I279" s="1673"/>
      <c r="J279" s="1673"/>
      <c r="K279" s="1681">
        <f>SUM(K238,K243,K257,K261,K270,K277,K278)</f>
        <v>417292</v>
      </c>
      <c r="L279" s="1681">
        <f>SUM(L238,L243,L257,L261,L270,L277,L278)</f>
        <v>440500</v>
      </c>
    </row>
    <row r="280" spans="1:12" ht="15.75" customHeight="1" thickTop="1" thickBot="1" x14ac:dyDescent="0.25">
      <c r="A280" s="1362" t="s">
        <v>870</v>
      </c>
      <c r="B280" s="1351">
        <v>3000</v>
      </c>
      <c r="C280" s="1673"/>
      <c r="D280" s="1651">
        <v>18491</v>
      </c>
      <c r="E280" s="1673"/>
      <c r="F280" s="1673"/>
      <c r="G280" s="1673"/>
      <c r="H280" s="1673"/>
      <c r="I280" s="1673"/>
      <c r="J280" s="1673"/>
      <c r="K280" s="1687">
        <f>D280</f>
        <v>18491</v>
      </c>
      <c r="L280" s="1651">
        <v>19800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622236</v>
      </c>
      <c r="E295" s="1673"/>
      <c r="F295" s="1673"/>
      <c r="G295" s="1673"/>
      <c r="H295" s="1674">
        <f>H293</f>
        <v>0</v>
      </c>
      <c r="I295" s="1673"/>
      <c r="J295" s="1673"/>
      <c r="K295" s="1674">
        <f>SUM(K229,K279,K280,K285,K293,K294)</f>
        <v>622236</v>
      </c>
      <c r="L295" s="1674">
        <f>SUM(L229,L279,L280,L285,L293,L294)</f>
        <v>643000</v>
      </c>
    </row>
    <row r="296" spans="1:14" ht="13.5" thickTop="1" x14ac:dyDescent="0.2">
      <c r="A296" s="2287" t="s">
        <v>989</v>
      </c>
      <c r="B296" s="2288"/>
      <c r="C296" s="1673"/>
      <c r="D296" s="1675"/>
      <c r="E296" s="1673"/>
      <c r="F296" s="1673"/>
      <c r="G296" s="1673"/>
      <c r="H296" s="1707"/>
      <c r="I296" s="1673"/>
      <c r="J296" s="1673"/>
      <c r="K296" s="1689">
        <f>'Revenues 9-14'!G268-'Expenditures 15-22'!K295</f>
        <v>16738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545538</v>
      </c>
      <c r="F301" s="1573">
        <v>9934</v>
      </c>
      <c r="G301" s="1573">
        <v>22936</v>
      </c>
      <c r="H301" s="1573"/>
      <c r="I301" s="1574"/>
      <c r="J301" s="1574"/>
      <c r="K301" s="1672">
        <f>SUM(C301:J301)</f>
        <v>578408</v>
      </c>
      <c r="L301" s="1574">
        <v>740000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545538</v>
      </c>
      <c r="F303" s="1681">
        <f t="shared" si="23"/>
        <v>9934</v>
      </c>
      <c r="G303" s="1681">
        <f t="shared" si="23"/>
        <v>22936</v>
      </c>
      <c r="H303" s="1681">
        <f t="shared" si="23"/>
        <v>0</v>
      </c>
      <c r="I303" s="1681">
        <f t="shared" si="23"/>
        <v>0</v>
      </c>
      <c r="J303" s="1681">
        <f t="shared" si="23"/>
        <v>0</v>
      </c>
      <c r="K303" s="1681">
        <f t="shared" si="23"/>
        <v>578408</v>
      </c>
      <c r="L303" s="1681">
        <f t="shared" si="23"/>
        <v>740000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545538</v>
      </c>
      <c r="F312" s="1674">
        <f>SUM(F303)</f>
        <v>9934</v>
      </c>
      <c r="G312" s="1674">
        <f>SUM(G303)</f>
        <v>22936</v>
      </c>
      <c r="H312" s="1674">
        <f>SUM(H303,H310)</f>
        <v>0</v>
      </c>
      <c r="I312" s="1674">
        <f>SUM(I303)</f>
        <v>0</v>
      </c>
      <c r="J312" s="1674">
        <f>SUM(J303)</f>
        <v>0</v>
      </c>
      <c r="K312" s="1674">
        <f>SUM(K303,K310,K311)</f>
        <v>578408</v>
      </c>
      <c r="L312" s="1674">
        <f>SUM(L303,L310,L311)</f>
        <v>740000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-439637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250836</v>
      </c>
      <c r="F322" s="1574"/>
      <c r="G322" s="1574"/>
      <c r="H322" s="1574"/>
      <c r="I322" s="1574"/>
      <c r="J322" s="1574"/>
      <c r="K322" s="1672">
        <f t="shared" si="24"/>
        <v>250836</v>
      </c>
      <c r="L322" s="1574">
        <v>232000</v>
      </c>
      <c r="M322" s="539"/>
      <c r="N322" s="539"/>
    </row>
    <row r="323" spans="1:14" s="548" customFormat="1" x14ac:dyDescent="0.2">
      <c r="A323" s="1289" t="s">
        <v>697</v>
      </c>
      <c r="B323" s="567" t="s">
        <v>283</v>
      </c>
      <c r="C323" s="1574">
        <v>167300</v>
      </c>
      <c r="D323" s="1574">
        <v>30900</v>
      </c>
      <c r="E323" s="1574">
        <v>76075</v>
      </c>
      <c r="F323" s="1574"/>
      <c r="G323" s="1574"/>
      <c r="H323" s="1574"/>
      <c r="I323" s="1574"/>
      <c r="J323" s="1574"/>
      <c r="K323" s="1672">
        <f t="shared" si="24"/>
        <v>274275</v>
      </c>
      <c r="L323" s="1574">
        <v>300500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66500</v>
      </c>
      <c r="D325" s="1574">
        <v>14500</v>
      </c>
      <c r="E325" s="1574"/>
      <c r="F325" s="1574"/>
      <c r="G325" s="1574"/>
      <c r="H325" s="1574"/>
      <c r="I325" s="1574"/>
      <c r="J325" s="1574"/>
      <c r="K325" s="1672">
        <f t="shared" si="24"/>
        <v>81000</v>
      </c>
      <c r="L325" s="1574">
        <v>80000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43614</v>
      </c>
      <c r="F327" s="1574"/>
      <c r="G327" s="1574"/>
      <c r="H327" s="1574"/>
      <c r="I327" s="1574"/>
      <c r="J327" s="1574"/>
      <c r="K327" s="1672">
        <f t="shared" si="24"/>
        <v>43614</v>
      </c>
      <c r="L327" s="1574">
        <v>38000</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233800</v>
      </c>
      <c r="D330" s="1674">
        <f t="shared" ref="D330:J330" si="25">SUM(D319:D329)</f>
        <v>45400</v>
      </c>
      <c r="E330" s="1674">
        <f t="shared" si="25"/>
        <v>370525</v>
      </c>
      <c r="F330" s="1674">
        <f t="shared" si="25"/>
        <v>0</v>
      </c>
      <c r="G330" s="1674">
        <f t="shared" si="25"/>
        <v>0</v>
      </c>
      <c r="H330" s="1674">
        <f t="shared" si="25"/>
        <v>0</v>
      </c>
      <c r="I330" s="1674">
        <f t="shared" si="25"/>
        <v>0</v>
      </c>
      <c r="J330" s="1674">
        <f t="shared" si="25"/>
        <v>0</v>
      </c>
      <c r="K330" s="1674">
        <f>SUM(K319:K329)</f>
        <v>649725</v>
      </c>
      <c r="L330" s="1674">
        <f>SUM(L319:L329)</f>
        <v>650500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233800</v>
      </c>
      <c r="D342" s="1674">
        <f>SUM(D330)</f>
        <v>45400</v>
      </c>
      <c r="E342" s="1674">
        <f>SUM(E330)</f>
        <v>370525</v>
      </c>
      <c r="F342" s="1674">
        <f>SUM(F330)</f>
        <v>0</v>
      </c>
      <c r="G342" s="1674">
        <f>SUM(G330)</f>
        <v>0</v>
      </c>
      <c r="H342" s="1674">
        <f>SUM(H330,H334,H340)</f>
        <v>0</v>
      </c>
      <c r="I342" s="1674">
        <f>SUM(I330)</f>
        <v>0</v>
      </c>
      <c r="J342" s="1674">
        <f>SUM(J330)</f>
        <v>0</v>
      </c>
      <c r="K342" s="1674">
        <f>SUM(K330,K334,K340)</f>
        <v>649725</v>
      </c>
      <c r="L342" s="1681">
        <f>SUM(L330,L334,L340,L341)</f>
        <v>650500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54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600000</v>
      </c>
      <c r="F349" s="1573"/>
      <c r="G349" s="1573">
        <v>64435</v>
      </c>
      <c r="H349" s="1573"/>
      <c r="I349" s="1574"/>
      <c r="J349" s="1574"/>
      <c r="K349" s="1672">
        <f>SUM(C349:J349)</f>
        <v>664435</v>
      </c>
      <c r="L349" s="1573">
        <v>625000</v>
      </c>
    </row>
    <row r="350" spans="1:14" ht="12.75" customHeight="1" thickBot="1" x14ac:dyDescent="0.25">
      <c r="A350" s="1380" t="s">
        <v>714</v>
      </c>
      <c r="B350" s="1381" t="s">
        <v>35</v>
      </c>
      <c r="C350" s="1674">
        <f>SUM(C348:C349)</f>
        <v>0</v>
      </c>
      <c r="D350" s="1674">
        <f t="shared" ref="D350:L350" si="26">SUM(D348:D349)</f>
        <v>0</v>
      </c>
      <c r="E350" s="1674">
        <f t="shared" si="26"/>
        <v>600000</v>
      </c>
      <c r="F350" s="1674">
        <f t="shared" si="26"/>
        <v>0</v>
      </c>
      <c r="G350" s="1674">
        <f t="shared" si="26"/>
        <v>64435</v>
      </c>
      <c r="H350" s="1674">
        <f t="shared" si="26"/>
        <v>0</v>
      </c>
      <c r="I350" s="1674">
        <f t="shared" si="26"/>
        <v>0</v>
      </c>
      <c r="J350" s="1674">
        <f t="shared" si="26"/>
        <v>0</v>
      </c>
      <c r="K350" s="1674">
        <f t="shared" si="26"/>
        <v>664435</v>
      </c>
      <c r="L350" s="1674">
        <f t="shared" si="26"/>
        <v>625000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600000</v>
      </c>
      <c r="F352" s="1674">
        <f t="shared" si="27"/>
        <v>0</v>
      </c>
      <c r="G352" s="1674">
        <f t="shared" si="27"/>
        <v>64435</v>
      </c>
      <c r="H352" s="1674">
        <f t="shared" si="27"/>
        <v>0</v>
      </c>
      <c r="I352" s="1674">
        <f t="shared" si="27"/>
        <v>0</v>
      </c>
      <c r="J352" s="1674">
        <f t="shared" si="27"/>
        <v>0</v>
      </c>
      <c r="K352" s="1674">
        <f t="shared" si="27"/>
        <v>664435</v>
      </c>
      <c r="L352" s="1674">
        <f t="shared" si="27"/>
        <v>625000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600000</v>
      </c>
      <c r="F367" s="1674">
        <f t="shared" si="28"/>
        <v>0</v>
      </c>
      <c r="G367" s="1674">
        <f t="shared" si="28"/>
        <v>64435</v>
      </c>
      <c r="H367" s="1674">
        <f t="shared" si="28"/>
        <v>0</v>
      </c>
      <c r="I367" s="1674">
        <f t="shared" si="28"/>
        <v>0</v>
      </c>
      <c r="J367" s="1674">
        <f t="shared" si="28"/>
        <v>0</v>
      </c>
      <c r="K367" s="1674">
        <f t="shared" si="28"/>
        <v>664435</v>
      </c>
      <c r="L367" s="1674">
        <f t="shared" si="28"/>
        <v>625000</v>
      </c>
    </row>
    <row r="368" spans="1:14" ht="13.5" thickTop="1" x14ac:dyDescent="0.2">
      <c r="A368" s="2287" t="s">
        <v>989</v>
      </c>
      <c r="B368" s="2288"/>
      <c r="C368" s="1694"/>
      <c r="D368" s="1694"/>
      <c r="E368" s="1677"/>
      <c r="F368" s="1677"/>
      <c r="G368" s="1677"/>
      <c r="H368" s="1677"/>
      <c r="I368" s="1677"/>
      <c r="J368" s="1676"/>
      <c r="K368" s="1672">
        <f>'Revenues 9-14'!K268-'Expenditures 15-22'!K367</f>
        <v>-515722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9" sqref="B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1147</v>
      </c>
      <c r="B4" s="1721">
        <f>'Revenues 9-14'!C5</f>
        <v>6864921</v>
      </c>
      <c r="C4" s="1722"/>
      <c r="D4" s="1723">
        <f>B4-C4</f>
        <v>6864921</v>
      </c>
      <c r="E4" s="1722">
        <v>6990984</v>
      </c>
      <c r="F4" s="1723">
        <f>E4-C4</f>
        <v>6990984</v>
      </c>
    </row>
    <row r="5" spans="1:8" ht="13.7" customHeight="1" x14ac:dyDescent="0.2">
      <c r="A5" s="579" t="s">
        <v>865</v>
      </c>
      <c r="B5" s="1724">
        <f>'Revenues 9-14'!D5</f>
        <v>1412535</v>
      </c>
      <c r="C5" s="1664"/>
      <c r="D5" s="1725">
        <f t="shared" ref="D5:D18" si="0">B5-C5</f>
        <v>1412535</v>
      </c>
      <c r="E5" s="1664">
        <v>1438476</v>
      </c>
      <c r="F5" s="1725">
        <f>E5-C5</f>
        <v>1438476</v>
      </c>
    </row>
    <row r="6" spans="1:8" ht="13.7" customHeight="1" x14ac:dyDescent="0.2">
      <c r="A6" s="579" t="s">
        <v>408</v>
      </c>
      <c r="B6" s="1724">
        <f>'Revenues 9-14'!E5</f>
        <v>567419</v>
      </c>
      <c r="C6" s="1664"/>
      <c r="D6" s="1725">
        <f t="shared" si="0"/>
        <v>567419</v>
      </c>
      <c r="E6" s="1664">
        <v>611854</v>
      </c>
      <c r="F6" s="1725">
        <f t="shared" ref="F6:F18" si="1">E6-C6</f>
        <v>611854</v>
      </c>
    </row>
    <row r="7" spans="1:8" ht="13.7" customHeight="1" x14ac:dyDescent="0.2">
      <c r="A7" s="579" t="s">
        <v>154</v>
      </c>
      <c r="B7" s="1724">
        <f>'Revenues 9-14'!F5</f>
        <v>565014</v>
      </c>
      <c r="C7" s="1664"/>
      <c r="D7" s="1725">
        <f t="shared" si="0"/>
        <v>565014</v>
      </c>
      <c r="E7" s="1664">
        <v>575390</v>
      </c>
      <c r="F7" s="1725">
        <f t="shared" si="1"/>
        <v>575390</v>
      </c>
    </row>
    <row r="8" spans="1:8" ht="13.7" customHeight="1" x14ac:dyDescent="0.2">
      <c r="A8" s="579" t="s">
        <v>1171</v>
      </c>
      <c r="B8" s="1724">
        <f>'Revenues 9-14'!G5</f>
        <v>309656</v>
      </c>
      <c r="C8" s="1664"/>
      <c r="D8" s="1725">
        <f t="shared" si="0"/>
        <v>309656</v>
      </c>
      <c r="E8" s="1664">
        <v>311862</v>
      </c>
      <c r="F8" s="1725">
        <f t="shared" si="1"/>
        <v>311862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141253</v>
      </c>
      <c r="C10" s="1664"/>
      <c r="D10" s="1725">
        <f t="shared" si="0"/>
        <v>141253</v>
      </c>
      <c r="E10" s="1664">
        <v>143848</v>
      </c>
      <c r="F10" s="1725">
        <f t="shared" si="1"/>
        <v>143848</v>
      </c>
    </row>
    <row r="11" spans="1:8" x14ac:dyDescent="0.2">
      <c r="A11" s="579" t="s">
        <v>406</v>
      </c>
      <c r="B11" s="1724">
        <f>'Revenues 9-14'!J5</f>
        <v>649285</v>
      </c>
      <c r="C11" s="1664"/>
      <c r="D11" s="1725">
        <f t="shared" si="0"/>
        <v>649285</v>
      </c>
      <c r="E11" s="1664">
        <v>643516</v>
      </c>
      <c r="F11" s="1725">
        <f t="shared" si="1"/>
        <v>643516</v>
      </c>
    </row>
    <row r="12" spans="1:8" ht="13.7" customHeight="1" x14ac:dyDescent="0.2">
      <c r="A12" s="579" t="s">
        <v>156</v>
      </c>
      <c r="B12" s="1724">
        <f>'Revenues 9-14'!K5</f>
        <v>141253</v>
      </c>
      <c r="C12" s="1664"/>
      <c r="D12" s="1725">
        <f t="shared" si="0"/>
        <v>141253</v>
      </c>
      <c r="E12" s="1664">
        <v>143848</v>
      </c>
      <c r="F12" s="1725">
        <f t="shared" si="1"/>
        <v>143848</v>
      </c>
    </row>
    <row r="13" spans="1:8" ht="13.7" customHeight="1" x14ac:dyDescent="0.2">
      <c r="A13" s="579" t="s">
        <v>930</v>
      </c>
      <c r="B13" s="1724">
        <f>SUM('Revenues 9-14'!C6:D6)</f>
        <v>141253</v>
      </c>
      <c r="C13" s="1664"/>
      <c r="D13" s="1725">
        <f t="shared" si="0"/>
        <v>141253</v>
      </c>
      <c r="E13" s="1664">
        <v>143848</v>
      </c>
      <c r="F13" s="1725">
        <f t="shared" si="1"/>
        <v>143848</v>
      </c>
    </row>
    <row r="14" spans="1:8" ht="13.7" customHeight="1" x14ac:dyDescent="0.2">
      <c r="A14" s="579" t="s">
        <v>407</v>
      </c>
      <c r="B14" s="1724">
        <f>SUM('Revenues 9-14'!C7:D7,'Revenues 9-14'!F7:H7)</f>
        <v>113003</v>
      </c>
      <c r="C14" s="1664"/>
      <c r="D14" s="1725">
        <f t="shared" si="0"/>
        <v>113003</v>
      </c>
      <c r="E14" s="1664">
        <v>115079</v>
      </c>
      <c r="F14" s="1725">
        <f t="shared" si="1"/>
        <v>115079</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309656</v>
      </c>
      <c r="C16" s="1664"/>
      <c r="D16" s="1725">
        <f t="shared" si="0"/>
        <v>309656</v>
      </c>
      <c r="E16" s="1664">
        <v>311862</v>
      </c>
      <c r="F16" s="1725">
        <f t="shared" si="1"/>
        <v>311862</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11215248</v>
      </c>
      <c r="C19" s="1726">
        <f>SUM(C4:C18)</f>
        <v>0</v>
      </c>
      <c r="D19" s="1726">
        <f>SUM(D4:D18)</f>
        <v>11215248</v>
      </c>
      <c r="E19" s="1726">
        <f>SUM(E4:E18)</f>
        <v>11430567</v>
      </c>
      <c r="F19" s="1726">
        <f>SUM(F4:F18)</f>
        <v>11430567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22" colorId="8" zoomScale="110" zoomScaleNormal="110" workbookViewId="0">
      <selection activeCell="J36" sqref="J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1106</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1103</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1104</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1105</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1063</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2132</v>
      </c>
      <c r="B31" s="595">
        <v>38838</v>
      </c>
      <c r="C31" s="1734">
        <v>4165000</v>
      </c>
      <c r="D31" s="1735" t="s">
        <v>2136</v>
      </c>
      <c r="E31" s="1734">
        <v>150000</v>
      </c>
      <c r="F31" s="1734"/>
      <c r="G31" s="1734"/>
      <c r="H31" s="1734">
        <v>140000</v>
      </c>
      <c r="I31" s="1736">
        <f>((E31+F31)-H31)+G31</f>
        <v>10000</v>
      </c>
      <c r="J31" s="1734">
        <v>10000</v>
      </c>
      <c r="K31" s="596"/>
    </row>
    <row r="32" spans="1:11" ht="12" customHeight="1" x14ac:dyDescent="0.2">
      <c r="A32" s="594" t="s">
        <v>2133</v>
      </c>
      <c r="B32" s="595">
        <v>41609</v>
      </c>
      <c r="C32" s="1734">
        <v>9345000</v>
      </c>
      <c r="D32" s="1735" t="s">
        <v>2137</v>
      </c>
      <c r="E32" s="1734">
        <v>9345000</v>
      </c>
      <c r="F32" s="1734"/>
      <c r="G32" s="1734"/>
      <c r="H32" s="1734"/>
      <c r="I32" s="1736">
        <f>((E32+F32)-H32)+G32</f>
        <v>9345000</v>
      </c>
      <c r="J32" s="1734">
        <v>9345000</v>
      </c>
      <c r="K32" s="596"/>
    </row>
    <row r="33" spans="1:11" ht="12" customHeight="1" x14ac:dyDescent="0.2">
      <c r="A33" s="594" t="s">
        <v>2133</v>
      </c>
      <c r="B33" s="595">
        <v>41671</v>
      </c>
      <c r="C33" s="1734">
        <v>7655000</v>
      </c>
      <c r="D33" s="1735" t="s">
        <v>2137</v>
      </c>
      <c r="E33" s="1734">
        <v>7625000</v>
      </c>
      <c r="F33" s="1734"/>
      <c r="G33" s="1734"/>
      <c r="H33" s="1734">
        <v>45000</v>
      </c>
      <c r="I33" s="1736">
        <f t="shared" ref="I33:I48" si="1">((E33+F33)-H33)+G33</f>
        <v>7580000</v>
      </c>
      <c r="J33" s="1734">
        <v>7580000</v>
      </c>
      <c r="K33" s="596"/>
    </row>
    <row r="34" spans="1:11" ht="12" customHeight="1" x14ac:dyDescent="0.2">
      <c r="A34" s="594" t="s">
        <v>2134</v>
      </c>
      <c r="B34" s="595">
        <v>41684</v>
      </c>
      <c r="C34" s="1734">
        <v>8625000</v>
      </c>
      <c r="D34" s="1735" t="s">
        <v>2137</v>
      </c>
      <c r="E34" s="1734">
        <v>8625000</v>
      </c>
      <c r="F34" s="1734"/>
      <c r="G34" s="1734"/>
      <c r="H34" s="1734"/>
      <c r="I34" s="1736">
        <f t="shared" si="1"/>
        <v>8625000</v>
      </c>
      <c r="J34" s="1734">
        <v>8625000</v>
      </c>
      <c r="K34" s="597"/>
    </row>
    <row r="35" spans="1:11" ht="12" customHeight="1" x14ac:dyDescent="0.2">
      <c r="A35" s="594" t="s">
        <v>2135</v>
      </c>
      <c r="B35" s="595">
        <v>42412</v>
      </c>
      <c r="C35" s="1737">
        <v>2190000</v>
      </c>
      <c r="D35" s="1735" t="s">
        <v>2138</v>
      </c>
      <c r="E35" s="1737">
        <v>1680000</v>
      </c>
      <c r="F35" s="1737"/>
      <c r="G35" s="1737"/>
      <c r="H35" s="1737">
        <v>465000</v>
      </c>
      <c r="I35" s="1736">
        <f t="shared" si="1"/>
        <v>1215000</v>
      </c>
      <c r="J35" s="1737">
        <v>697961</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31980000</v>
      </c>
      <c r="D49" s="1742"/>
      <c r="E49" s="1736">
        <f t="shared" ref="E49:J49" si="2">SUM(E31:E48)</f>
        <v>27425000</v>
      </c>
      <c r="F49" s="1736">
        <f t="shared" si="2"/>
        <v>0</v>
      </c>
      <c r="G49" s="1736">
        <f t="shared" si="2"/>
        <v>0</v>
      </c>
      <c r="H49" s="1736">
        <f t="shared" si="2"/>
        <v>650000</v>
      </c>
      <c r="I49" s="1736">
        <f t="shared" si="2"/>
        <v>26775000</v>
      </c>
      <c r="J49" s="1736">
        <f t="shared" si="2"/>
        <v>26257961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8" sqref="H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1661</v>
      </c>
      <c r="B2" s="2324"/>
      <c r="C2" s="2324"/>
      <c r="D2" s="2324"/>
      <c r="E2" s="2325"/>
      <c r="F2" s="615" t="s">
        <v>898</v>
      </c>
      <c r="G2" s="616" t="s">
        <v>1658</v>
      </c>
      <c r="H2" s="616" t="s">
        <v>407</v>
      </c>
      <c r="I2" s="616" t="s">
        <v>1150</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c r="K3" s="1745">
        <v>-505290</v>
      </c>
    </row>
    <row r="4" spans="1:11" x14ac:dyDescent="0.2">
      <c r="A4" s="2329" t="s">
        <v>366</v>
      </c>
      <c r="B4" s="2330"/>
      <c r="C4" s="2330"/>
      <c r="D4" s="2330"/>
      <c r="E4" s="2311"/>
      <c r="F4" s="620"/>
      <c r="G4" s="1746"/>
      <c r="H4" s="1747"/>
      <c r="I4" s="1746"/>
      <c r="J4" s="1748"/>
      <c r="K4" s="1748"/>
    </row>
    <row r="5" spans="1:11" x14ac:dyDescent="0.2">
      <c r="A5" s="2349" t="s">
        <v>1062</v>
      </c>
      <c r="B5" s="2320"/>
      <c r="C5" s="2320"/>
      <c r="D5" s="2320"/>
      <c r="E5" s="2350"/>
      <c r="F5" s="622" t="s">
        <v>843</v>
      </c>
      <c r="G5" s="1749"/>
      <c r="H5" s="1744">
        <v>113003</v>
      </c>
      <c r="I5" s="1750"/>
      <c r="J5" s="1751"/>
      <c r="K5" s="1751"/>
    </row>
    <row r="6" spans="1:11" x14ac:dyDescent="0.2">
      <c r="A6" s="625" t="s">
        <v>715</v>
      </c>
      <c r="B6" s="626"/>
      <c r="C6" s="626"/>
      <c r="D6" s="626"/>
      <c r="E6" s="627"/>
      <c r="F6" s="628" t="s">
        <v>844</v>
      </c>
      <c r="G6" s="1744"/>
      <c r="H6" s="1744"/>
      <c r="I6" s="1744"/>
      <c r="J6" s="1745">
        <v>1152</v>
      </c>
      <c r="K6" s="1745"/>
    </row>
    <row r="7" spans="1:11" x14ac:dyDescent="0.2">
      <c r="A7" s="629" t="s">
        <v>244</v>
      </c>
      <c r="B7" s="630"/>
      <c r="C7" s="630"/>
      <c r="D7" s="630"/>
      <c r="E7" s="631"/>
      <c r="F7" s="622" t="s">
        <v>845</v>
      </c>
      <c r="G7" s="1746"/>
      <c r="H7" s="1746"/>
      <c r="I7" s="1746"/>
      <c r="J7" s="1752"/>
      <c r="K7" s="1745">
        <v>5784</v>
      </c>
    </row>
    <row r="8" spans="1:11" x14ac:dyDescent="0.2">
      <c r="A8" s="629" t="s">
        <v>342</v>
      </c>
      <c r="B8" s="630"/>
      <c r="C8" s="630"/>
      <c r="D8" s="630"/>
      <c r="E8" s="631"/>
      <c r="F8" s="622" t="s">
        <v>846</v>
      </c>
      <c r="G8" s="1753"/>
      <c r="H8" s="1753"/>
      <c r="I8" s="1753"/>
      <c r="J8" s="1745">
        <v>1383329</v>
      </c>
      <c r="K8" s="1748"/>
    </row>
    <row r="9" spans="1:11" x14ac:dyDescent="0.2">
      <c r="A9" s="629" t="s">
        <v>137</v>
      </c>
      <c r="B9" s="630"/>
      <c r="C9" s="630"/>
      <c r="D9" s="630"/>
      <c r="E9" s="631"/>
      <c r="F9" s="628" t="s">
        <v>848</v>
      </c>
      <c r="G9" s="1753"/>
      <c r="H9" s="1749"/>
      <c r="I9" s="1749"/>
      <c r="J9" s="1752"/>
      <c r="K9" s="1745">
        <v>24446</v>
      </c>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113003</v>
      </c>
      <c r="I12" s="1755">
        <f>SUM(I5:I11)</f>
        <v>0</v>
      </c>
      <c r="J12" s="1755">
        <f>SUM(J5:J11)</f>
        <v>1384481</v>
      </c>
      <c r="K12" s="1755">
        <f>SUM(K5:K11)</f>
        <v>30230</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113003</v>
      </c>
      <c r="I14" s="1749"/>
      <c r="J14" s="1751"/>
      <c r="K14" s="1745"/>
    </row>
    <row r="15" spans="1:11" x14ac:dyDescent="0.2">
      <c r="A15" s="2320" t="s">
        <v>4</v>
      </c>
      <c r="B15" s="2320"/>
      <c r="C15" s="2320"/>
      <c r="D15" s="2320"/>
      <c r="E15" s="2350"/>
      <c r="F15" s="635" t="s">
        <v>850</v>
      </c>
      <c r="G15" s="1749"/>
      <c r="H15" s="1744"/>
      <c r="I15" s="1744"/>
      <c r="J15" s="1745"/>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v>734481</v>
      </c>
      <c r="K18" s="1763"/>
    </row>
    <row r="19" spans="1:15" ht="21.75" customHeight="1" x14ac:dyDescent="0.2">
      <c r="A19" s="2357" t="s">
        <v>1786</v>
      </c>
      <c r="B19" s="2357"/>
      <c r="C19" s="2357"/>
      <c r="D19" s="2357"/>
      <c r="E19" s="2358"/>
      <c r="F19" s="635" t="s">
        <v>927</v>
      </c>
      <c r="G19" s="1753"/>
      <c r="H19" s="1753"/>
      <c r="I19" s="1753"/>
      <c r="J19" s="1745">
        <v>650000</v>
      </c>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1384481</v>
      </c>
      <c r="K21" s="1761"/>
    </row>
    <row r="22" spans="1:15" ht="13.5" thickTop="1" x14ac:dyDescent="0.2">
      <c r="A22" s="2320" t="s">
        <v>1792</v>
      </c>
      <c r="B22" s="2320"/>
      <c r="C22" s="2320"/>
      <c r="D22" s="2320"/>
      <c r="E22" s="2350"/>
      <c r="F22" s="635" t="s">
        <v>857</v>
      </c>
      <c r="G22" s="1753"/>
      <c r="H22" s="1744"/>
      <c r="I22" s="1744"/>
      <c r="J22" s="1766"/>
      <c r="K22" s="1745">
        <v>41877</v>
      </c>
    </row>
    <row r="23" spans="1:15" ht="13.5" thickBot="1" x14ac:dyDescent="0.25">
      <c r="A23" s="2341" t="s">
        <v>900</v>
      </c>
      <c r="B23" s="2340"/>
      <c r="C23" s="2340"/>
      <c r="D23" s="2340"/>
      <c r="E23" s="2340"/>
      <c r="F23" s="1436"/>
      <c r="G23" s="1755">
        <f>SUM(G14:G16,G21,G22)</f>
        <v>0</v>
      </c>
      <c r="H23" s="1755">
        <f>SUM(H14:H16,H21,H22)</f>
        <v>113003</v>
      </c>
      <c r="I23" s="1755">
        <f>SUM(I14:I16,I21,I22)</f>
        <v>0</v>
      </c>
      <c r="J23" s="1755">
        <f>SUM(J14:J16,J21,J22)</f>
        <v>1384481</v>
      </c>
      <c r="K23" s="1755">
        <f>SUM(K14:K16,K21,K22)</f>
        <v>41877</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0</v>
      </c>
      <c r="K24" s="1767">
        <f>SUM(K3,K12)-K23</f>
        <v>-516937</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-516937</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1161</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1659</v>
      </c>
    </row>
    <row r="47" spans="1:11" s="663" customFormat="1" ht="12.75" customHeight="1" x14ac:dyDescent="0.2">
      <c r="A47" s="661"/>
      <c r="B47" s="662" t="s">
        <v>1660</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D1"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411741</v>
      </c>
      <c r="D5" s="1770"/>
      <c r="E5" s="1770"/>
      <c r="F5" s="1765">
        <f>(C5+D5)-E5</f>
        <v>411741</v>
      </c>
      <c r="G5" s="676"/>
      <c r="H5" s="680"/>
      <c r="I5" s="680"/>
      <c r="J5" s="680"/>
      <c r="K5" s="637"/>
      <c r="L5" s="1442">
        <f>F5-K5</f>
        <v>411741</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49840152</v>
      </c>
      <c r="D8" s="1771">
        <v>79230</v>
      </c>
      <c r="E8" s="1771"/>
      <c r="F8" s="1765">
        <f>(C8+D8)-E8</f>
        <v>49919382</v>
      </c>
      <c r="G8" s="681">
        <v>50</v>
      </c>
      <c r="H8" s="619">
        <v>15140084</v>
      </c>
      <c r="I8" s="619">
        <v>1045303</v>
      </c>
      <c r="J8" s="619"/>
      <c r="K8" s="1442">
        <f>(H8+I8)-J8</f>
        <v>16185387</v>
      </c>
      <c r="L8" s="1442">
        <f>F8-K8</f>
        <v>33733995</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2427918</v>
      </c>
      <c r="D10" s="1772"/>
      <c r="E10" s="1772"/>
      <c r="F10" s="1773">
        <f>(C10+D10)-E10</f>
        <v>2427918</v>
      </c>
      <c r="G10" s="681">
        <v>20</v>
      </c>
      <c r="H10" s="683">
        <v>1203678</v>
      </c>
      <c r="I10" s="683">
        <v>170421</v>
      </c>
      <c r="J10" s="683"/>
      <c r="K10" s="1442">
        <f>(H10+I10)-J10</f>
        <v>1374099</v>
      </c>
      <c r="L10" s="1442">
        <f>F10-K10</f>
        <v>1053819</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6066084</v>
      </c>
      <c r="D12" s="1771">
        <v>96865</v>
      </c>
      <c r="E12" s="1771">
        <v>150307</v>
      </c>
      <c r="F12" s="1765">
        <f>(C12+D12)-E12</f>
        <v>6012642</v>
      </c>
      <c r="G12" s="681">
        <v>10</v>
      </c>
      <c r="H12" s="619">
        <v>5422485</v>
      </c>
      <c r="I12" s="619">
        <v>98114</v>
      </c>
      <c r="J12" s="619">
        <v>8665</v>
      </c>
      <c r="K12" s="1442">
        <f>(H12+I12)-J12</f>
        <v>5511934</v>
      </c>
      <c r="L12" s="1442">
        <f>F12-K12</f>
        <v>500708</v>
      </c>
    </row>
    <row r="13" spans="1:14" ht="14.25" thickTop="1" thickBot="1" x14ac:dyDescent="0.25">
      <c r="A13" s="684" t="s">
        <v>1114</v>
      </c>
      <c r="B13" s="679">
        <v>252</v>
      </c>
      <c r="C13" s="1771">
        <v>234040</v>
      </c>
      <c r="D13" s="1771"/>
      <c r="E13" s="1771"/>
      <c r="F13" s="1765">
        <f>(C13+D13)-E13</f>
        <v>234040</v>
      </c>
      <c r="G13" s="681">
        <v>5</v>
      </c>
      <c r="H13" s="619">
        <v>234040</v>
      </c>
      <c r="I13" s="619"/>
      <c r="J13" s="619"/>
      <c r="K13" s="1442">
        <f>(H13+I13)-J13</f>
        <v>234040</v>
      </c>
      <c r="L13" s="1442">
        <f>F13-K13</f>
        <v>0</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58979935</v>
      </c>
      <c r="D16" s="1765">
        <f>SUM(D3,D5:D6,D8:D10,D12:D15)</f>
        <v>176095</v>
      </c>
      <c r="E16" s="1765">
        <f>SUM(E3,E5:E6,E8:E10,E12:E15)</f>
        <v>150307</v>
      </c>
      <c r="F16" s="1765">
        <f>SUM(F3,F5:F6,F8:F10,F12:F15)</f>
        <v>59005723</v>
      </c>
      <c r="G16" s="681"/>
      <c r="H16" s="1435">
        <f>SUM(H3,H6,H8:H10,H12:H14,)</f>
        <v>22000287</v>
      </c>
      <c r="I16" s="1435">
        <f>SUM(I3,I6,I8:I10,I12:I14,)</f>
        <v>1313838</v>
      </c>
      <c r="J16" s="1435">
        <f>SUM(J3,J6,J8:J10,J12:J14,)</f>
        <v>8665</v>
      </c>
      <c r="K16" s="1435">
        <f>(H16+I16)-J16</f>
        <v>23305460</v>
      </c>
      <c r="L16" s="1435">
        <f>F16-K16</f>
        <v>35700263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1313838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B109" colorId="8" zoomScale="110" zoomScaleNormal="110" workbookViewId="0">
      <selection activeCell="F177" sqref="F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1097</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17436959</v>
      </c>
      <c r="G8" s="701"/>
    </row>
    <row r="9" spans="1:9" x14ac:dyDescent="0.2">
      <c r="A9" s="705" t="s">
        <v>457</v>
      </c>
      <c r="B9" s="706" t="s">
        <v>1848</v>
      </c>
      <c r="C9" s="707"/>
      <c r="D9" s="705" t="s">
        <v>498</v>
      </c>
      <c r="E9" s="704"/>
      <c r="F9" s="1775">
        <f>'Expenditures 15-22'!K151</f>
        <v>1446360</v>
      </c>
      <c r="G9" s="708"/>
    </row>
    <row r="10" spans="1:9" x14ac:dyDescent="0.2">
      <c r="A10" s="705" t="s">
        <v>496</v>
      </c>
      <c r="B10" s="706" t="s">
        <v>1849</v>
      </c>
      <c r="C10" s="707"/>
      <c r="D10" s="705" t="s">
        <v>498</v>
      </c>
      <c r="E10" s="704"/>
      <c r="F10" s="1775">
        <f>'Expenditures 15-22'!K174</f>
        <v>1951849</v>
      </c>
      <c r="G10" s="708"/>
    </row>
    <row r="11" spans="1:9" x14ac:dyDescent="0.2">
      <c r="A11" s="705" t="s">
        <v>458</v>
      </c>
      <c r="B11" s="706" t="s">
        <v>1850</v>
      </c>
      <c r="C11" s="707"/>
      <c r="D11" s="705" t="s">
        <v>498</v>
      </c>
      <c r="E11" s="704"/>
      <c r="F11" s="1775">
        <f>'Expenditures 15-22'!K210</f>
        <v>1379443</v>
      </c>
      <c r="G11" s="708"/>
    </row>
    <row r="12" spans="1:9" x14ac:dyDescent="0.2">
      <c r="A12" s="705" t="s">
        <v>459</v>
      </c>
      <c r="B12" s="706" t="s">
        <v>1851</v>
      </c>
      <c r="C12" s="707"/>
      <c r="D12" s="705" t="s">
        <v>498</v>
      </c>
      <c r="E12" s="704"/>
      <c r="F12" s="1775">
        <f>'Expenditures 15-22'!K295</f>
        <v>622236</v>
      </c>
      <c r="G12" s="708"/>
    </row>
    <row r="13" spans="1:9" x14ac:dyDescent="0.2">
      <c r="A13" s="705" t="s">
        <v>106</v>
      </c>
      <c r="B13" s="706" t="s">
        <v>1852</v>
      </c>
      <c r="C13" s="707"/>
      <c r="D13" s="705" t="s">
        <v>498</v>
      </c>
      <c r="E13" s="704"/>
      <c r="F13" s="1775">
        <f>'Expenditures 15-22'!K342</f>
        <v>649725</v>
      </c>
      <c r="G13" s="709"/>
    </row>
    <row r="14" spans="1:9" ht="12" customHeight="1" thickBot="1" x14ac:dyDescent="0.25">
      <c r="A14" s="1443"/>
      <c r="B14" s="1444"/>
      <c r="C14" s="1445"/>
      <c r="D14" s="1446" t="s">
        <v>498</v>
      </c>
      <c r="E14" s="1447" t="s">
        <v>952</v>
      </c>
      <c r="F14" s="1776">
        <f>SUM(F8:F13)</f>
        <v>23486572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8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102611</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7818</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171513</v>
      </c>
      <c r="G52" s="701"/>
    </row>
    <row r="53" spans="1:7" x14ac:dyDescent="0.2">
      <c r="A53" s="705" t="s">
        <v>456</v>
      </c>
      <c r="B53" s="705" t="s">
        <v>1461</v>
      </c>
      <c r="C53" s="724">
        <f>'Expenditures 15-22'!B102</f>
        <v>4000</v>
      </c>
      <c r="D53" s="723" t="str">
        <f>'Expenditures 15-22'!A102</f>
        <v>Total Payments to Other Govt Units</v>
      </c>
      <c r="E53" s="704"/>
      <c r="F53" s="1782">
        <f>'Expenditures 15-22'!K102</f>
        <v>1376788</v>
      </c>
      <c r="G53" s="701"/>
    </row>
    <row r="54" spans="1:7" x14ac:dyDescent="0.2">
      <c r="A54" s="705" t="s">
        <v>456</v>
      </c>
      <c r="B54" s="705" t="s">
        <v>1462</v>
      </c>
      <c r="C54" s="724" t="s">
        <v>975</v>
      </c>
      <c r="D54" s="720" t="s">
        <v>1088</v>
      </c>
      <c r="E54" s="704"/>
      <c r="F54" s="1782">
        <f>'Expenditures 15-22'!G114</f>
        <v>158810</v>
      </c>
      <c r="G54" s="701"/>
    </row>
    <row r="55" spans="1:7" x14ac:dyDescent="0.2">
      <c r="A55" s="705" t="s">
        <v>456</v>
      </c>
      <c r="B55" s="705" t="s">
        <v>1463</v>
      </c>
      <c r="C55" s="724" t="s">
        <v>975</v>
      </c>
      <c r="D55" s="720" t="s">
        <v>288</v>
      </c>
      <c r="E55" s="704"/>
      <c r="F55" s="1782">
        <f>'Expenditures 15-22'!I114</f>
        <v>0</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1088</v>
      </c>
      <c r="E58" s="704"/>
      <c r="F58" s="1784">
        <f>'Expenditures 15-22'!G151</f>
        <v>22568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650000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1088</v>
      </c>
      <c r="E65" s="704"/>
      <c r="F65" s="1782">
        <f>'Expenditures 15-22'!G210</f>
        <v>542262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3918</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100</v>
      </c>
      <c r="G71" s="701"/>
    </row>
    <row r="72" spans="1:9" x14ac:dyDescent="0.2">
      <c r="A72" s="705" t="s">
        <v>459</v>
      </c>
      <c r="B72" s="705" t="s">
        <v>1867</v>
      </c>
      <c r="C72" s="721">
        <f>'Expenditures 15-22'!B280</f>
        <v>3000</v>
      </c>
      <c r="D72" s="712" t="s">
        <v>446</v>
      </c>
      <c r="E72" s="704"/>
      <c r="F72" s="1782">
        <f>'Expenditures 15-22'!K280</f>
        <v>18491</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1473</v>
      </c>
      <c r="E74" s="704"/>
      <c r="F74" s="1786">
        <f>'Expenditures 15-22'!K334</f>
        <v>0</v>
      </c>
      <c r="G74" s="701"/>
    </row>
    <row r="75" spans="1:9" x14ac:dyDescent="0.2">
      <c r="A75" s="705" t="s">
        <v>2008</v>
      </c>
      <c r="B75" s="705" t="s">
        <v>2009</v>
      </c>
      <c r="C75" s="721" t="s">
        <v>975</v>
      </c>
      <c r="D75" s="722" t="s">
        <v>1088</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3054879</v>
      </c>
      <c r="G77" s="701"/>
    </row>
    <row r="78" spans="1:9" s="728" customFormat="1" ht="12" customHeight="1" thickTop="1" thickBot="1" x14ac:dyDescent="0.25">
      <c r="A78" s="1450"/>
      <c r="B78" s="1448"/>
      <c r="C78" s="1445"/>
      <c r="D78" s="1449" t="s">
        <v>2012</v>
      </c>
      <c r="E78" s="1447"/>
      <c r="F78" s="1788">
        <f>(F14-F77)</f>
        <v>20431693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2265.1999999999998</v>
      </c>
      <c r="G79" s="733"/>
      <c r="H79" s="705"/>
      <c r="I79" s="705"/>
    </row>
    <row r="80" spans="1:9" s="728" customFormat="1" ht="12" customHeight="1" thickBot="1" x14ac:dyDescent="0.25">
      <c r="A80" s="1452"/>
      <c r="B80" s="1448"/>
      <c r="C80" s="1445"/>
      <c r="D80" s="1449" t="s">
        <v>2013</v>
      </c>
      <c r="E80" s="1447" t="s">
        <v>952</v>
      </c>
      <c r="F80" s="1790">
        <f>IF(F79&gt;0,F78/F79," Complete Line 79")</f>
        <v>9019.818559067633</v>
      </c>
      <c r="G80" s="705"/>
    </row>
    <row r="81" spans="1:7" s="728" customFormat="1" ht="8.25" customHeight="1" thickTop="1" x14ac:dyDescent="0.2">
      <c r="A81" s="734"/>
      <c r="B81" s="705"/>
      <c r="C81" s="707"/>
      <c r="D81" s="735"/>
      <c r="E81" s="704"/>
      <c r="F81" s="1791"/>
      <c r="G81" s="705"/>
    </row>
    <row r="82" spans="1:7" s="728" customFormat="1" ht="12" thickBot="1" x14ac:dyDescent="0.25">
      <c r="A82" s="2364" t="s">
        <v>1098</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724</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7859</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550072</v>
      </c>
      <c r="G95" s="745"/>
    </row>
    <row r="96" spans="1:7" x14ac:dyDescent="0.2">
      <c r="A96" s="741" t="s">
        <v>139</v>
      </c>
      <c r="B96" s="741" t="s">
        <v>174</v>
      </c>
      <c r="C96" s="743">
        <v>1700</v>
      </c>
      <c r="D96" s="751" t="str">
        <f>'Revenues 9-14'!A82</f>
        <v>Total District/School Activity Income</v>
      </c>
      <c r="E96" s="739"/>
      <c r="F96" s="1793">
        <f>SUM('Revenues 9-14'!C82,'Revenues 9-14'!D82)</f>
        <v>91199</v>
      </c>
      <c r="G96" s="745"/>
    </row>
    <row r="97" spans="1:7" x14ac:dyDescent="0.2">
      <c r="A97" s="741" t="s">
        <v>456</v>
      </c>
      <c r="B97" s="741" t="s">
        <v>175</v>
      </c>
      <c r="C97" s="743">
        <f>'Revenues 9-14'!B84</f>
        <v>1811</v>
      </c>
      <c r="D97" s="744" t="str">
        <f>'Revenues 9-14'!A84</f>
        <v>Rentals - Regular Textbooks</v>
      </c>
      <c r="E97" s="739"/>
      <c r="F97" s="1793">
        <f>'Revenues 9-14'!C84</f>
        <v>179764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135</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2447</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33694</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11701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2342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24446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739186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209904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321813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16626</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503160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1413</v>
      </c>
      <c r="D159" s="774" t="s">
        <v>1414</v>
      </c>
      <c r="E159" s="775"/>
      <c r="F159" s="1793">
        <f>SUM('Revenues 9-14'!C253)</f>
        <v>0</v>
      </c>
      <c r="G159" s="738"/>
    </row>
    <row r="160" spans="1:7" s="703" customFormat="1" x14ac:dyDescent="0.2">
      <c r="A160" s="771" t="s">
        <v>497</v>
      </c>
      <c r="B160" s="772" t="s">
        <v>1953</v>
      </c>
      <c r="C160" s="773" t="s">
        <v>1452</v>
      </c>
      <c r="D160" s="774" t="s">
        <v>1453</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43671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49522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545228</v>
      </c>
      <c r="G172" s="760"/>
    </row>
    <row r="173" spans="1:7" x14ac:dyDescent="0.2">
      <c r="A173" s="1529" t="s">
        <v>659</v>
      </c>
      <c r="B173" s="1530" t="s">
        <v>1885</v>
      </c>
      <c r="C173" s="1531">
        <v>3300</v>
      </c>
      <c r="D173" s="1532" t="s">
        <v>1888</v>
      </c>
      <c r="E173" s="739"/>
      <c r="F173" s="1794">
        <v>860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3334353</v>
      </c>
    </row>
    <row r="176" spans="1:7" ht="12" customHeight="1" x14ac:dyDescent="0.2">
      <c r="A176" s="1443"/>
      <c r="B176" s="1453"/>
      <c r="C176" s="1454"/>
      <c r="D176" s="1455" t="s">
        <v>2014</v>
      </c>
      <c r="E176" s="1456"/>
      <c r="F176" s="1793">
        <f>'PCTC-OEPP 27-28'!F78-F175</f>
        <v>17097340</v>
      </c>
    </row>
    <row r="177" spans="1:9" ht="12" customHeight="1" x14ac:dyDescent="0.2">
      <c r="A177" s="1443"/>
      <c r="B177" s="1453"/>
      <c r="C177" s="1454"/>
      <c r="D177" s="1455" t="s">
        <v>1794</v>
      </c>
      <c r="E177" s="1456"/>
      <c r="F177" s="1793">
        <f>'Cap Outlay Deprec 26'!I18</f>
        <v>1313838</v>
      </c>
    </row>
    <row r="178" spans="1:9" ht="12" customHeight="1" x14ac:dyDescent="0.2">
      <c r="A178" s="1443"/>
      <c r="B178" s="1453"/>
      <c r="C178" s="1454"/>
      <c r="D178" s="1455" t="s">
        <v>2015</v>
      </c>
      <c r="E178" s="1456"/>
      <c r="F178" s="1793">
        <f>F176+F177</f>
        <v>18411178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2265.1999999999998</v>
      </c>
      <c r="G179" s="763"/>
      <c r="I179" s="701"/>
    </row>
    <row r="180" spans="1:9" ht="12" customHeight="1" thickBot="1" x14ac:dyDescent="0.25">
      <c r="A180" s="1443"/>
      <c r="B180" s="1457"/>
      <c r="C180" s="1454"/>
      <c r="D180" s="1455" t="s">
        <v>2017</v>
      </c>
      <c r="E180" s="1456" t="s">
        <v>1531</v>
      </c>
      <c r="F180" s="1798">
        <f>F178/F179</f>
        <v>8127.8377185237514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3" zoomScaleNormal="100" workbookViewId="0">
      <selection activeCell="B19" sqref="B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2123</v>
      </c>
      <c r="B18" s="1908">
        <v>102520300</v>
      </c>
      <c r="C18" s="2037" t="s">
        <v>2127</v>
      </c>
      <c r="D18" s="1886">
        <v>71853</v>
      </c>
      <c r="E18" s="1906" t="str">
        <f t="shared" ref="E18:E81" si="0">IF(D18&lt;25000,D18,"25,000")</f>
        <v>25,000</v>
      </c>
      <c r="F18" s="1906">
        <f t="shared" ref="F18:F81" si="1">IF(D18&gt;=25000,(D18-E18),"0")</f>
        <v>46853</v>
      </c>
      <c r="G18" s="1887"/>
    </row>
    <row r="19" spans="1:7" x14ac:dyDescent="0.25">
      <c r="A19" s="2036" t="s">
        <v>2124</v>
      </c>
      <c r="B19" s="1908">
        <v>101000300</v>
      </c>
      <c r="C19" s="2037" t="s">
        <v>2128</v>
      </c>
      <c r="D19" s="1886">
        <v>3815</v>
      </c>
      <c r="E19" s="1906">
        <f t="shared" si="0"/>
        <v>3815</v>
      </c>
      <c r="F19" s="1906" t="str">
        <f t="shared" si="1"/>
        <v>0</v>
      </c>
    </row>
    <row r="20" spans="1:7" x14ac:dyDescent="0.25">
      <c r="A20" s="2036" t="s">
        <v>2125</v>
      </c>
      <c r="B20" s="1908">
        <v>202540400</v>
      </c>
      <c r="C20" s="2037" t="s">
        <v>2129</v>
      </c>
      <c r="D20" s="1886">
        <v>6978</v>
      </c>
      <c r="E20" s="1906">
        <f t="shared" si="0"/>
        <v>6978</v>
      </c>
      <c r="F20" s="1906" t="str">
        <f t="shared" si="1"/>
        <v>0</v>
      </c>
    </row>
    <row r="21" spans="1:7" x14ac:dyDescent="0.25">
      <c r="A21" s="2036" t="s">
        <v>2126</v>
      </c>
      <c r="B21" s="1908">
        <v>402550300</v>
      </c>
      <c r="C21" s="2037" t="s">
        <v>2130</v>
      </c>
      <c r="D21" s="1886">
        <v>6828</v>
      </c>
      <c r="E21" s="1906">
        <f t="shared" si="0"/>
        <v>6828</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89474</v>
      </c>
      <c r="E142" s="1893">
        <f>SUM(E18:E141)</f>
        <v>17621</v>
      </c>
      <c r="F142" s="1894">
        <f>SUM(F18:F141)</f>
        <v>46853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B1"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1663</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33153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12141647</v>
      </c>
      <c r="F19" s="1802"/>
      <c r="G19" s="1804">
        <f>'Expenditures 15-22'!K33-SUM('Expenditures 15-22'!G33,'Expenditures 15-22'!I33)+'Expenditures 15-22'!D229</f>
        <v>12141647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649362</v>
      </c>
      <c r="F21" s="1805"/>
      <c r="G21" s="1808">
        <f>'Expenditures 15-22'!K42-SUM('Expenditures 15-22'!G42,'Expenditures 15-22'!I42)+'Expenditures 15-22'!K120-SUM('Expenditures 15-22'!G120,'Expenditures 15-22'!I120)+'Expenditures 15-22'!K180-SUM('Expenditures 15-22'!G180,'Expenditures 15-22'!I180)+'Expenditures 15-22'!D238</f>
        <v>649362</v>
      </c>
      <c r="H21" s="817"/>
      <c r="I21" s="157"/>
    </row>
    <row r="22" spans="1:9" s="542" customFormat="1" ht="12" customHeight="1" x14ac:dyDescent="0.2">
      <c r="A22" s="824" t="s">
        <v>560</v>
      </c>
      <c r="B22" s="825"/>
      <c r="C22" s="823">
        <v>2200</v>
      </c>
      <c r="D22" s="1805"/>
      <c r="E22" s="1807">
        <f>'Expenditures 15-22'!K47-SUM('Expenditures 15-22'!G47,'Expenditures 15-22'!I47)+'Expenditures 15-22'!D243</f>
        <v>299881</v>
      </c>
      <c r="F22" s="1805"/>
      <c r="G22" s="1808">
        <f>'Expenditures 15-22'!K47-SUM('Expenditures 15-22'!G47,'Expenditures 15-22'!I47)+'Expenditures 15-22'!D243</f>
        <v>299881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1113070</v>
      </c>
      <c r="F23" s="1805"/>
      <c r="G23" s="1807">
        <f>'Expenditures 15-22'!K53-SUM('Expenditures 15-22'!G53,'Expenditures 15-22'!I53)+'Expenditures 15-22'!D257+'Expenditures 15-22'!K330-SUM('Expenditures 15-22'!G330,'Expenditures 15-22'!I330)</f>
        <v>1113070</v>
      </c>
      <c r="H23" s="817"/>
      <c r="I23" s="157"/>
    </row>
    <row r="24" spans="1:9" s="542" customFormat="1" ht="12" customHeight="1" x14ac:dyDescent="0.2">
      <c r="A24" s="824" t="s">
        <v>562</v>
      </c>
      <c r="B24" s="825"/>
      <c r="C24" s="823">
        <v>2400</v>
      </c>
      <c r="D24" s="1805"/>
      <c r="E24" s="1807">
        <f>'Expenditures 15-22'!K57-SUM('Expenditures 15-22'!G57,'Expenditures 15-22'!I57)+'Expenditures 15-22'!D261</f>
        <v>1315830</v>
      </c>
      <c r="F24" s="1805"/>
      <c r="G24" s="1808">
        <f>'Expenditures 15-22'!K57-SUM('Expenditures 15-22'!G57,'Expenditures 15-22'!I57)+'Expenditures 15-22'!D261</f>
        <v>1315830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337467</v>
      </c>
      <c r="E27" s="1807">
        <f>E8</f>
        <v>0</v>
      </c>
      <c r="F27" s="1807">
        <f>'Expenditures 15-22'!K60-SUM('Expenditures 15-22'!G60,'Expenditures 15-22'!I60)+'Expenditures 15-22'!D264-E8</f>
        <v>337467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1594564</v>
      </c>
      <c r="F28" s="1809">
        <f>'Expenditures 15-22'!K61-SUM('Expenditures 15-22'!G61,'Expenditures 15-22'!I61)+'Expenditures 15-22'!K124-SUM('Expenditures 15-22'!G124,'Expenditures 15-22'!I124)+'Expenditures 15-22'!D266-E9</f>
        <v>1594564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926166</v>
      </c>
      <c r="F29" s="1805"/>
      <c r="G29" s="1808">
        <f>'Expenditures 15-22'!K62-SUM('Expenditures 15-22'!G62,'Expenditures 15-22'!I62)+'Expenditures 15-22'!K125-SUM('Expenditures 15-22'!G125,'Expenditures 15-22'!I125)+'Expenditures 15-22'!K182-SUM('Expenditures 15-22'!G182,'Expenditures 15-22'!I182)+'Expenditures 15-22'!D267</f>
        <v>926166</v>
      </c>
      <c r="H29" s="815"/>
    </row>
    <row r="30" spans="1:9" ht="12" customHeight="1" x14ac:dyDescent="0.2">
      <c r="A30" s="824" t="s">
        <v>100</v>
      </c>
      <c r="B30" s="827"/>
      <c r="C30" s="823">
        <v>2560</v>
      </c>
      <c r="D30" s="1805"/>
      <c r="E30" s="1807">
        <f>'Expenditures 15-22'!K63-SUM('Expenditures 15-22'!G63,'Expenditures 15-22'!I63)+'Expenditures 15-22'!D268-E10</f>
        <v>866304</v>
      </c>
      <c r="F30" s="1805"/>
      <c r="G30" s="1807">
        <f>'Expenditures 15-22'!K63-SUM('Expenditures 15-22'!G63,'Expenditures 15-22'!I63)+'Expenditures 15-22'!D268-E10</f>
        <v>866304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190004</v>
      </c>
      <c r="F39" s="1805"/>
      <c r="G39" s="1807">
        <f>'Expenditures 15-22'!K75-SUM('Expenditures 15-22'!G75,'Expenditures 15-22'!I75)+'Expenditures 15-22'!K130-SUM('Expenditures 15-22'!G130,'Expenditures 15-22'!I130)+'Expenditures 15-22'!K185-SUM('Expenditures 15-22'!G185,'Expenditures 15-22'!I185)+'Expenditures 15-22'!D280</f>
        <v>190004</v>
      </c>
    </row>
    <row r="40" spans="1:7" ht="12" customHeight="1" x14ac:dyDescent="0.2">
      <c r="A40" s="820" t="s">
        <v>1798</v>
      </c>
      <c r="B40" s="821"/>
      <c r="C40" s="823"/>
      <c r="D40" s="1805"/>
      <c r="E40" s="1809">
        <f>-'Contracts Paid in CY 29'!F142</f>
        <v>-46853</v>
      </c>
      <c r="F40" s="1805"/>
      <c r="G40" s="1809">
        <f>-'Contracts Paid in CY 29'!F142</f>
        <v>-46853</v>
      </c>
    </row>
    <row r="41" spans="1:7" ht="12" customHeight="1" x14ac:dyDescent="0.2">
      <c r="A41" s="828" t="s">
        <v>155</v>
      </c>
      <c r="B41" s="829"/>
      <c r="C41" s="830"/>
      <c r="D41" s="1809">
        <f>SUM(D19:D39)</f>
        <v>337467</v>
      </c>
      <c r="E41" s="1809">
        <f>SUM(E19:E40)</f>
        <v>19049975</v>
      </c>
      <c r="F41" s="1809">
        <f>SUM(F19:F39)</f>
        <v>1932031</v>
      </c>
      <c r="G41" s="1809">
        <f>SUM(G19:G40)</f>
        <v>17455411</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337467</v>
      </c>
      <c r="F43" s="1458" t="s">
        <v>470</v>
      </c>
      <c r="G43" s="1810">
        <f>F41</f>
        <v>1932031</v>
      </c>
    </row>
    <row r="44" spans="1:7" ht="12" customHeight="1" x14ac:dyDescent="0.2">
      <c r="A44" s="817"/>
      <c r="B44" s="157"/>
      <c r="C44" s="831"/>
      <c r="D44" s="1458" t="s">
        <v>471</v>
      </c>
      <c r="E44" s="1810">
        <f>E41</f>
        <v>19049975</v>
      </c>
      <c r="F44" s="1458" t="s">
        <v>471</v>
      </c>
      <c r="G44" s="1810">
        <f>G41</f>
        <v>17455411</v>
      </c>
    </row>
    <row r="45" spans="1:7" ht="12" customHeight="1" x14ac:dyDescent="0.2">
      <c r="A45" s="817"/>
      <c r="B45" s="157"/>
      <c r="C45" s="157"/>
      <c r="D45" s="1459" t="s">
        <v>999</v>
      </c>
      <c r="E45" s="1811">
        <f>(E43/E44)</f>
        <v>1.7714826397409969E-2</v>
      </c>
      <c r="F45" s="1459" t="s">
        <v>999</v>
      </c>
      <c r="G45" s="1811">
        <f>(G43/G44)</f>
        <v>0.11068378739406365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43" sqref="A43: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01" t="s">
        <v>1365</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1532</v>
      </c>
      <c r="B5" s="2403"/>
      <c r="C5" s="2404"/>
      <c r="D5" s="2404"/>
      <c r="E5" s="2404"/>
      <c r="F5" s="2404"/>
      <c r="G5" s="1507"/>
      <c r="L5" s="1507"/>
      <c r="M5" s="1855"/>
      <c r="N5" s="1855"/>
      <c r="O5" s="1855"/>
    </row>
    <row r="6" spans="1:15" ht="12" customHeight="1" x14ac:dyDescent="0.25">
      <c r="A6" s="1480"/>
      <c r="B6" s="1481"/>
      <c r="C6" s="2405" t="str">
        <f>COVER!A17</f>
        <v xml:space="preserve"> Mt Zion CUSD 3</v>
      </c>
      <c r="D6" s="2405"/>
      <c r="E6" s="2405"/>
      <c r="F6" s="1482"/>
      <c r="G6" s="1507"/>
      <c r="L6" s="1507"/>
      <c r="M6" s="1855"/>
      <c r="N6" s="1855"/>
      <c r="O6" s="1855"/>
    </row>
    <row r="7" spans="1:15" ht="11.25" customHeight="1" thickBot="1" x14ac:dyDescent="0.3">
      <c r="A7" s="1480"/>
      <c r="B7" s="1481"/>
      <c r="C7" s="2406">
        <f>COVER!A13</f>
        <v>39055003026</v>
      </c>
      <c r="D7" s="2406"/>
      <c r="E7" s="2406"/>
      <c r="F7" s="1482"/>
      <c r="G7" s="1507"/>
      <c r="L7" s="1507"/>
      <c r="M7" s="1855"/>
      <c r="N7" s="1855"/>
      <c r="O7" s="1855"/>
    </row>
    <row r="8" spans="1:15" ht="25.5" customHeight="1" thickBot="1" x14ac:dyDescent="0.25">
      <c r="A8" s="1519" t="s">
        <v>1874</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1519</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1520</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1525</v>
      </c>
      <c r="B31" s="1494"/>
      <c r="C31" s="1495" t="s">
        <v>2048</v>
      </c>
      <c r="D31" s="1495" t="s">
        <v>2048</v>
      </c>
      <c r="E31" s="1498"/>
      <c r="F31" s="1497" t="s">
        <v>2066</v>
      </c>
      <c r="G31" s="1507"/>
      <c r="H31" s="1507">
        <f t="shared" si="0"/>
        <v>5</v>
      </c>
      <c r="I31" s="1507">
        <f t="shared" si="1"/>
        <v>5</v>
      </c>
      <c r="J31" s="1507">
        <f t="shared" si="2"/>
        <v>0</v>
      </c>
      <c r="L31" s="1856"/>
      <c r="M31" s="1855"/>
      <c r="N31" s="1855"/>
      <c r="O31" s="1855"/>
    </row>
    <row r="32" spans="1:15" ht="12" customHeight="1" x14ac:dyDescent="0.2">
      <c r="A32" s="1493" t="s">
        <v>1526</v>
      </c>
      <c r="B32" s="1494"/>
      <c r="C32" s="1495" t="s">
        <v>2048</v>
      </c>
      <c r="D32" s="1495" t="s">
        <v>2048</v>
      </c>
      <c r="E32" s="1498"/>
      <c r="F32" s="1497" t="s">
        <v>2067</v>
      </c>
      <c r="G32" s="1507"/>
      <c r="H32" s="1507">
        <f t="shared" si="0"/>
        <v>5</v>
      </c>
      <c r="I32" s="1507">
        <f t="shared" si="1"/>
        <v>5</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1378</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1377</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9" zoomScaleNormal="100" workbookViewId="0">
      <selection activeCell="M66" sqref="M66"/>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1" t="str">
        <f>COVER!A17</f>
        <v xml:space="preserve"> Mt Zion CUSD 3</v>
      </c>
      <c r="K6" s="2421"/>
      <c r="L6" s="2422"/>
      <c r="M6" s="838"/>
      <c r="N6" s="1998"/>
    </row>
    <row r="7" spans="1:14" x14ac:dyDescent="0.2">
      <c r="A7" s="2423" t="s">
        <v>864</v>
      </c>
      <c r="B7" s="2424"/>
      <c r="C7" s="2424"/>
      <c r="D7" s="2424"/>
      <c r="E7" s="2425"/>
      <c r="F7" s="839"/>
      <c r="G7" s="838"/>
      <c r="H7" s="838"/>
      <c r="I7" s="1924" t="s">
        <v>369</v>
      </c>
      <c r="J7" s="2426">
        <f>COVER!A13</f>
        <v>39055003026</v>
      </c>
      <c r="K7" s="2426"/>
      <c r="L7" s="242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7" t="s">
        <v>478</v>
      </c>
      <c r="B11" s="2428"/>
      <c r="C11" s="242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297844</v>
      </c>
      <c r="F12" s="1942"/>
      <c r="G12" s="1968">
        <f>G68</f>
        <v>0</v>
      </c>
      <c r="H12" s="1944">
        <f t="shared" ref="H12:H18" si="0">SUM(E12:G12)</f>
        <v>297844</v>
      </c>
      <c r="I12" s="1943">
        <v>311600</v>
      </c>
      <c r="J12" s="1942"/>
      <c r="K12" s="1943"/>
      <c r="L12" s="1944">
        <f t="shared" ref="L12:L18" si="1">SUM(I12:K12)</f>
        <v>311600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1061</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1053</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0" t="s">
        <v>7</v>
      </c>
      <c r="C18" s="2431"/>
      <c r="D18" s="2432"/>
      <c r="E18" s="1946"/>
      <c r="F18" s="1946"/>
      <c r="G18" s="1943"/>
      <c r="H18" s="1947">
        <f t="shared" si="0"/>
        <v>0</v>
      </c>
      <c r="I18" s="1943"/>
      <c r="J18" s="1943"/>
      <c r="K18" s="1943"/>
      <c r="L18" s="1944">
        <f t="shared" si="1"/>
        <v>0</v>
      </c>
      <c r="M18" s="838"/>
      <c r="N18" s="1998"/>
    </row>
    <row r="19" spans="1:14" ht="13.5" thickBot="1" x14ac:dyDescent="0.25">
      <c r="A19" s="2003">
        <v>8</v>
      </c>
      <c r="B19" s="1948" t="s">
        <v>1153</v>
      </c>
      <c r="C19" s="838"/>
      <c r="D19" s="1949"/>
      <c r="E19" s="1950">
        <f t="shared" ref="E19:L19" si="2">SUM(E12:E17)-E18</f>
        <v>297844</v>
      </c>
      <c r="F19" s="1950">
        <f t="shared" si="2"/>
        <v>0</v>
      </c>
      <c r="G19" s="1950">
        <f t="shared" ref="G19" si="3">SUM(G12:G17)-G18</f>
        <v>0</v>
      </c>
      <c r="H19" s="1950">
        <f t="shared" si="2"/>
        <v>297844</v>
      </c>
      <c r="I19" s="1950">
        <f t="shared" si="2"/>
        <v>311600</v>
      </c>
      <c r="J19" s="1950">
        <f t="shared" si="2"/>
        <v>0</v>
      </c>
      <c r="K19" s="1950">
        <f t="shared" si="2"/>
        <v>0</v>
      </c>
      <c r="L19" s="1950">
        <f t="shared" si="2"/>
        <v>311600</v>
      </c>
      <c r="M19" s="838"/>
      <c r="N19" s="1998"/>
    </row>
    <row r="20" spans="1:14" ht="13.5" thickTop="1" x14ac:dyDescent="0.2">
      <c r="A20" s="2003">
        <v>9</v>
      </c>
      <c r="B20" s="2433" t="s">
        <v>2021</v>
      </c>
      <c r="C20" s="2433"/>
      <c r="D20" s="2434"/>
      <c r="E20" s="1951"/>
      <c r="F20" s="1951"/>
      <c r="G20" s="1951"/>
      <c r="H20" s="1951"/>
      <c r="I20" s="1951"/>
      <c r="J20" s="1951"/>
      <c r="K20" s="1951"/>
      <c r="L20" s="1952">
        <f>IF(AND(H19&gt;0,L19&gt;0),(((L19-H19)/H19)),"Enter Budget Data")</f>
        <v>4.6185251339627455E-2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5"/>
      <c r="D27" s="2435"/>
      <c r="E27" s="843"/>
      <c r="F27" s="2436"/>
      <c r="G27" s="2436"/>
      <c r="H27" s="2436"/>
      <c r="I27" s="838"/>
      <c r="J27" s="838"/>
      <c r="K27" s="838"/>
      <c r="L27" s="838"/>
      <c r="M27" s="838"/>
      <c r="N27" s="1998"/>
    </row>
    <row r="28" spans="1:14" x14ac:dyDescent="0.2">
      <c r="A28" s="1997"/>
      <c r="B28" s="2007"/>
      <c r="C28" s="1957" t="s">
        <v>1026</v>
      </c>
      <c r="D28" s="844"/>
      <c r="E28" s="1958"/>
      <c r="F28" s="2437" t="s">
        <v>1495</v>
      </c>
      <c r="G28" s="2437"/>
      <c r="H28" s="2437"/>
      <c r="I28" s="838"/>
      <c r="J28" s="838"/>
      <c r="K28" s="838"/>
      <c r="L28" s="838"/>
      <c r="M28" s="838"/>
      <c r="N28" s="1998"/>
    </row>
    <row r="29" spans="1:14" x14ac:dyDescent="0.2">
      <c r="A29" s="1997"/>
      <c r="B29" s="2007"/>
      <c r="C29" s="2438"/>
      <c r="D29" s="2438"/>
      <c r="E29" s="845"/>
      <c r="F29" s="2438"/>
      <c r="G29" s="2438"/>
      <c r="H29" s="2438"/>
      <c r="I29" s="838"/>
      <c r="J29" s="838"/>
      <c r="K29" s="838"/>
      <c r="L29" s="838"/>
      <c r="M29" s="838"/>
      <c r="N29" s="1998"/>
    </row>
    <row r="30" spans="1:14" x14ac:dyDescent="0.2">
      <c r="A30" s="1997"/>
      <c r="B30" s="2007"/>
      <c r="C30" s="1960" t="s">
        <v>1547</v>
      </c>
      <c r="D30" s="838"/>
      <c r="E30" s="1959"/>
      <c r="F30" s="2420" t="s">
        <v>1496</v>
      </c>
      <c r="G30" s="2420"/>
      <c r="H30" s="242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1" t="s">
        <v>2024</v>
      </c>
      <c r="D34" s="2442"/>
      <c r="E34" s="2442"/>
      <c r="F34" s="2442"/>
      <c r="G34" s="2442"/>
      <c r="H34" s="2442"/>
      <c r="I34" s="2442"/>
      <c r="J34" s="2442"/>
      <c r="K34" s="2016"/>
      <c r="L34" s="838"/>
      <c r="M34" s="838"/>
      <c r="N34" s="1998"/>
    </row>
    <row r="35" spans="1:14" x14ac:dyDescent="0.2">
      <c r="A35" s="1997"/>
      <c r="B35" s="838"/>
      <c r="C35" s="2442"/>
      <c r="D35" s="2442"/>
      <c r="E35" s="2442"/>
      <c r="F35" s="2442"/>
      <c r="G35" s="2442"/>
      <c r="H35" s="2442"/>
      <c r="I35" s="2442"/>
      <c r="J35" s="244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1" t="s">
        <v>2025</v>
      </c>
      <c r="D37" s="2442"/>
      <c r="E37" s="2442"/>
      <c r="F37" s="2442"/>
      <c r="G37" s="2442"/>
      <c r="H37" s="2442"/>
      <c r="I37" s="2442"/>
      <c r="J37" s="2442"/>
      <c r="K37" s="2016"/>
      <c r="L37" s="2018"/>
      <c r="M37" s="838"/>
      <c r="N37" s="1998"/>
    </row>
    <row r="38" spans="1:14" x14ac:dyDescent="0.2">
      <c r="A38" s="1997"/>
      <c r="B38" s="838"/>
      <c r="C38" s="2442"/>
      <c r="D38" s="2442"/>
      <c r="E38" s="2442"/>
      <c r="F38" s="2442"/>
      <c r="G38" s="2442"/>
      <c r="H38" s="2442"/>
      <c r="I38" s="2442"/>
      <c r="J38" s="244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3" t="s">
        <v>2026</v>
      </c>
      <c r="D40" s="2444"/>
      <c r="E40" s="2444"/>
      <c r="F40" s="2444"/>
      <c r="G40" s="2444"/>
      <c r="H40" s="2444"/>
      <c r="I40" s="2444"/>
      <c r="J40" s="244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1" t="str">
        <f>J6</f>
        <v xml:space="preserve"> Mt Zion CUSD 3</v>
      </c>
      <c r="M52" s="2421"/>
      <c r="N52" s="2451"/>
    </row>
    <row r="53" spans="1:14" x14ac:dyDescent="0.2">
      <c r="A53" s="1982"/>
      <c r="B53" s="1983"/>
      <c r="C53" s="1983"/>
      <c r="D53" s="1983"/>
      <c r="E53" s="1983"/>
      <c r="F53" s="1983"/>
      <c r="G53" s="1983"/>
      <c r="H53" s="1983"/>
      <c r="I53" s="1983"/>
      <c r="J53" s="1983"/>
      <c r="K53" s="1924" t="s">
        <v>369</v>
      </c>
      <c r="L53" s="2426">
        <f>J7</f>
        <v>39055003026</v>
      </c>
      <c r="M53" s="2426"/>
      <c r="N53" s="245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3"/>
      <c r="B55" s="2454"/>
      <c r="C55" s="2454"/>
      <c r="D55" s="1970"/>
      <c r="E55" s="1970"/>
      <c r="F55" s="1970"/>
      <c r="G55" s="2455" t="s">
        <v>2030</v>
      </c>
      <c r="H55" s="2455"/>
      <c r="I55" s="2455"/>
      <c r="J55" s="2455"/>
      <c r="K55" s="2455"/>
      <c r="L55" s="2455"/>
      <c r="M55" s="2455"/>
      <c r="N55" s="2456"/>
    </row>
    <row r="56" spans="1:14" ht="63.75" x14ac:dyDescent="0.2">
      <c r="A56" s="2457" t="s">
        <v>2031</v>
      </c>
      <c r="B56" s="2458"/>
      <c r="C56" s="245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0" t="s">
        <v>296</v>
      </c>
      <c r="B57" s="2461"/>
      <c r="C57" s="246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9" t="s">
        <v>2041</v>
      </c>
      <c r="B58" s="2440"/>
      <c r="C58" s="2440"/>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62" t="s">
        <v>297</v>
      </c>
      <c r="B59" s="2463"/>
      <c r="C59" s="2463"/>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2" t="s">
        <v>236</v>
      </c>
      <c r="B60" s="2463"/>
      <c r="C60" s="2463"/>
      <c r="D60" s="1967">
        <v>2364</v>
      </c>
      <c r="E60" s="1977">
        <f>'Expenditures 15-22'!K322</f>
        <v>250836</v>
      </c>
      <c r="F60" s="1972"/>
      <c r="G60" s="2031"/>
      <c r="H60" s="2032"/>
      <c r="I60" s="2032"/>
      <c r="J60" s="2032"/>
      <c r="K60" s="2032"/>
      <c r="L60" s="2032"/>
      <c r="M60" s="2032">
        <v>250836</v>
      </c>
      <c r="N60" s="1975">
        <f t="shared" ref="N60:N67" si="4">IF((SUM(G60:M60))=E60,SUM(G60:M60),"Column N does not agree with Column E")</f>
        <v>250836</v>
      </c>
    </row>
    <row r="61" spans="1:14" ht="24.75" customHeight="1" x14ac:dyDescent="0.2">
      <c r="A61" s="2462" t="s">
        <v>697</v>
      </c>
      <c r="B61" s="2463"/>
      <c r="C61" s="2463"/>
      <c r="D61" s="1967">
        <v>2365</v>
      </c>
      <c r="E61" s="1977">
        <f>'Expenditures 15-22'!K323</f>
        <v>274275</v>
      </c>
      <c r="F61" s="1972"/>
      <c r="G61" s="2031"/>
      <c r="H61" s="2032"/>
      <c r="I61" s="2032"/>
      <c r="J61" s="2032"/>
      <c r="K61" s="2032"/>
      <c r="L61" s="2032"/>
      <c r="M61" s="2032">
        <v>274275</v>
      </c>
      <c r="N61" s="1975">
        <f t="shared" si="4"/>
        <v>274275</v>
      </c>
    </row>
    <row r="62" spans="1:14" ht="24" customHeight="1" x14ac:dyDescent="0.2">
      <c r="A62" s="2462" t="s">
        <v>237</v>
      </c>
      <c r="B62" s="2463"/>
      <c r="C62" s="2463"/>
      <c r="D62" s="1967">
        <v>2366</v>
      </c>
      <c r="E62" s="1977">
        <f>'Expenditures 15-22'!K324</f>
        <v>0</v>
      </c>
      <c r="F62" s="1972"/>
      <c r="G62" s="2031"/>
      <c r="H62" s="2032"/>
      <c r="I62" s="2032"/>
      <c r="J62" s="2032"/>
      <c r="K62" s="2032"/>
      <c r="L62" s="2032"/>
      <c r="M62" s="2032"/>
      <c r="N62" s="1975">
        <f t="shared" si="4"/>
        <v>0</v>
      </c>
    </row>
    <row r="63" spans="1:14" ht="24" customHeight="1" x14ac:dyDescent="0.2">
      <c r="A63" s="2439" t="s">
        <v>1022</v>
      </c>
      <c r="B63" s="2440"/>
      <c r="C63" s="2440"/>
      <c r="D63" s="1967">
        <v>2367</v>
      </c>
      <c r="E63" s="1977">
        <f>'Expenditures 15-22'!K325</f>
        <v>81000</v>
      </c>
      <c r="F63" s="1972"/>
      <c r="G63" s="2031"/>
      <c r="H63" s="2032"/>
      <c r="I63" s="2032"/>
      <c r="J63" s="2032"/>
      <c r="K63" s="2032"/>
      <c r="L63" s="2032"/>
      <c r="M63" s="2032">
        <v>81000</v>
      </c>
      <c r="N63" s="1975">
        <f t="shared" si="4"/>
        <v>81000</v>
      </c>
    </row>
    <row r="64" spans="1:14" ht="24" customHeight="1" x14ac:dyDescent="0.2">
      <c r="A64" s="2462" t="s">
        <v>1023</v>
      </c>
      <c r="B64" s="2463"/>
      <c r="C64" s="2463"/>
      <c r="D64" s="1967">
        <v>2368</v>
      </c>
      <c r="E64" s="1977">
        <f>'Expenditures 15-22'!K326</f>
        <v>0</v>
      </c>
      <c r="F64" s="1972"/>
      <c r="G64" s="2031"/>
      <c r="H64" s="2032"/>
      <c r="I64" s="2032"/>
      <c r="J64" s="2032"/>
      <c r="K64" s="2032"/>
      <c r="L64" s="2032"/>
      <c r="M64" s="2032"/>
      <c r="N64" s="1975">
        <f t="shared" si="4"/>
        <v>0</v>
      </c>
    </row>
    <row r="65" spans="1:14" ht="24" customHeight="1" x14ac:dyDescent="0.2">
      <c r="A65" s="2462" t="s">
        <v>965</v>
      </c>
      <c r="B65" s="2463"/>
      <c r="C65" s="2463"/>
      <c r="D65" s="1967">
        <v>2369</v>
      </c>
      <c r="E65" s="1977">
        <f>'Expenditures 15-22'!K327</f>
        <v>43614</v>
      </c>
      <c r="F65" s="1972"/>
      <c r="G65" s="2031"/>
      <c r="H65" s="2032"/>
      <c r="I65" s="2032"/>
      <c r="J65" s="2032"/>
      <c r="K65" s="2032"/>
      <c r="L65" s="2032"/>
      <c r="M65" s="2032">
        <v>43614</v>
      </c>
      <c r="N65" s="1975">
        <f t="shared" si="4"/>
        <v>43614</v>
      </c>
    </row>
    <row r="66" spans="1:14" ht="24" customHeight="1" x14ac:dyDescent="0.2">
      <c r="A66" s="2462" t="s">
        <v>469</v>
      </c>
      <c r="B66" s="2463"/>
      <c r="C66" s="2463"/>
      <c r="D66" s="1967">
        <v>2371</v>
      </c>
      <c r="E66" s="1977">
        <f>'Expenditures 15-22'!K328</f>
        <v>0</v>
      </c>
      <c r="F66" s="1972"/>
      <c r="G66" s="2031"/>
      <c r="H66" s="2032"/>
      <c r="I66" s="2032"/>
      <c r="J66" s="2032"/>
      <c r="K66" s="2032"/>
      <c r="L66" s="2032"/>
      <c r="M66" s="2032"/>
      <c r="N66" s="1975">
        <f t="shared" si="4"/>
        <v>0</v>
      </c>
    </row>
    <row r="67" spans="1:14" ht="24.75" customHeight="1" x14ac:dyDescent="0.2">
      <c r="A67" s="2464" t="s">
        <v>2042</v>
      </c>
      <c r="B67" s="2465"/>
      <c r="C67" s="2465"/>
      <c r="D67" s="1969">
        <v>2372</v>
      </c>
      <c r="E67" s="1978">
        <f>'Expenditures 15-22'!K329</f>
        <v>0</v>
      </c>
      <c r="F67" s="1972"/>
      <c r="G67" s="2033"/>
      <c r="H67" s="2034"/>
      <c r="I67" s="2034"/>
      <c r="J67" s="2034"/>
      <c r="K67" s="2034"/>
      <c r="L67" s="2034"/>
      <c r="M67" s="2034"/>
      <c r="N67" s="1975">
        <f t="shared" si="4"/>
        <v>0</v>
      </c>
    </row>
    <row r="68" spans="1:14" x14ac:dyDescent="0.2">
      <c r="A68" s="2466" t="s">
        <v>1153</v>
      </c>
      <c r="B68" s="2467"/>
      <c r="C68" s="2467"/>
      <c r="D68" s="1970"/>
      <c r="E68" s="1974">
        <f>SUM(E57:E67)</f>
        <v>649725</v>
      </c>
      <c r="F68" s="1973"/>
      <c r="G68" s="1974">
        <f t="shared" ref="G68:N68" si="5">SUM(G57:G67)</f>
        <v>0</v>
      </c>
      <c r="H68" s="1974">
        <f t="shared" si="5"/>
        <v>0</v>
      </c>
      <c r="I68" s="1974">
        <f t="shared" si="5"/>
        <v>0</v>
      </c>
      <c r="J68" s="1974">
        <f t="shared" si="5"/>
        <v>0</v>
      </c>
      <c r="K68" s="1974">
        <f t="shared" si="5"/>
        <v>0</v>
      </c>
      <c r="L68" s="1974">
        <f t="shared" si="5"/>
        <v>0</v>
      </c>
      <c r="M68" s="1974">
        <f t="shared" si="5"/>
        <v>649725</v>
      </c>
      <c r="N68" s="1988">
        <f t="shared" si="5"/>
        <v>649725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Mt Zion CUSD 3</v>
      </c>
    </row>
    <row r="65" spans="2:2" x14ac:dyDescent="0.2">
      <c r="B65" s="849">
        <f>COVER!A13</f>
        <v>39055003026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1668</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0</xdr:colOff>
                <xdr:row>6</xdr:row>
                <xdr:rowOff>0</xdr:rowOff>
              </from>
              <to>
                <xdr:col>1</xdr:col>
                <xdr:colOff>1019175</xdr:colOff>
                <xdr:row>11</xdr:row>
                <xdr:rowOff>47625</xdr:rowOff>
              </to>
            </anchor>
          </objectPr>
        </oleObject>
      </mc:Choice>
      <mc:Fallback>
        <oleObject progId="Acrobat Document" dvAspect="DVASPECT_ICON" shapeId="5734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1672</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1673</v>
      </c>
      <c r="B6" s="2486"/>
      <c r="C6" s="2486"/>
      <c r="D6" s="2486"/>
      <c r="E6" s="2486"/>
      <c r="F6" s="2487"/>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17565688</v>
      </c>
      <c r="C8" s="1813">
        <f>'Acct Summary 7-8'!D8</f>
        <v>1449061</v>
      </c>
      <c r="D8" s="1813">
        <f>'Acct Summary 7-8'!F8</f>
        <v>1380895</v>
      </c>
      <c r="E8" s="1813">
        <f>'Acct Summary 7-8'!I8</f>
        <v>153923</v>
      </c>
      <c r="F8" s="1813">
        <f>SUM(B8:E8)</f>
        <v>20549567</v>
      </c>
    </row>
    <row r="9" spans="1:8" s="858" customFormat="1" ht="14.25" customHeight="1" thickBot="1" x14ac:dyDescent="0.25">
      <c r="A9" s="857" t="s">
        <v>1355</v>
      </c>
      <c r="B9" s="1814">
        <f>'Acct Summary 7-8'!C17</f>
        <v>17436959</v>
      </c>
      <c r="C9" s="1814">
        <f>'Acct Summary 7-8'!D17</f>
        <v>1446360</v>
      </c>
      <c r="D9" s="1814">
        <f>'Acct Summary 7-8'!F17</f>
        <v>1379443</v>
      </c>
      <c r="E9" s="1813"/>
      <c r="F9" s="1813">
        <f>SUM(B9:E9)</f>
        <v>20262762</v>
      </c>
    </row>
    <row r="10" spans="1:8" s="858" customFormat="1" ht="14.25" thickTop="1" thickBot="1" x14ac:dyDescent="0.25">
      <c r="A10" s="859" t="s">
        <v>1356</v>
      </c>
      <c r="B10" s="1815">
        <f>(B8-B9)</f>
        <v>128729</v>
      </c>
      <c r="C10" s="1815">
        <f>(C8-C9)</f>
        <v>2701</v>
      </c>
      <c r="D10" s="1815">
        <f>(D8-D9)</f>
        <v>1452</v>
      </c>
      <c r="E10" s="1814">
        <f>(E8-E9)</f>
        <v>153923</v>
      </c>
      <c r="F10" s="1816">
        <f>SUM(F8-F9)</f>
        <v>286805</v>
      </c>
    </row>
    <row r="11" spans="1:8" s="858" customFormat="1" ht="14.25" thickTop="1" thickBot="1" x14ac:dyDescent="0.25">
      <c r="A11" s="860" t="s">
        <v>1903</v>
      </c>
      <c r="B11" s="1817">
        <f>'Acct Summary 7-8'!C81</f>
        <v>3583991</v>
      </c>
      <c r="C11" s="1817">
        <f>'Acct Summary 7-8'!D81</f>
        <v>845015</v>
      </c>
      <c r="D11" s="1817">
        <f>'Acct Summary 7-8'!F81</f>
        <v>613315</v>
      </c>
      <c r="E11" s="1817">
        <f>'Acct Summary 7-8'!I81</f>
        <v>1045365</v>
      </c>
      <c r="F11" s="1818">
        <f>SUM(B11:E11)</f>
        <v>6087686</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1669</v>
      </c>
      <c r="B16" s="2472"/>
      <c r="C16" s="2472"/>
      <c r="D16" s="2472"/>
      <c r="E16" s="2472"/>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1674</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1490</v>
      </c>
      <c r="D7" s="2506"/>
    </row>
    <row r="8" spans="1:4" s="542" customFormat="1" ht="12.75" x14ac:dyDescent="0.2">
      <c r="A8" s="917"/>
      <c r="B8" s="872"/>
      <c r="C8" s="875" t="s">
        <v>1489</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1675</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9" t="s">
        <v>311</v>
      </c>
      <c r="D21" s="2510"/>
    </row>
    <row r="22" spans="1:10" ht="12.75" x14ac:dyDescent="0.2">
      <c r="A22" s="918"/>
      <c r="B22" s="919">
        <v>2</v>
      </c>
      <c r="C22" s="2507" t="s">
        <v>1510</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1677</v>
      </c>
      <c r="D70" s="2504"/>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39055003026</v>
      </c>
      <c r="E2" s="1542">
        <v>2020</v>
      </c>
      <c r="F2" s="1542">
        <v>1</v>
      </c>
      <c r="G2" s="1899">
        <v>101000300</v>
      </c>
    </row>
    <row r="3" spans="1:7" ht="15" x14ac:dyDescent="0.25">
      <c r="A3" t="s">
        <v>950</v>
      </c>
      <c r="B3" s="135" t="str">
        <f>COVER!A15</f>
        <v>Macon/Piatt</v>
      </c>
      <c r="E3" s="1830" t="s">
        <v>1971</v>
      </c>
      <c r="F3" s="1830" t="s">
        <v>1970</v>
      </c>
      <c r="G3" s="1899">
        <v>101000400</v>
      </c>
    </row>
    <row r="4" spans="1:7" ht="15" x14ac:dyDescent="0.25">
      <c r="A4" t="s">
        <v>1000</v>
      </c>
      <c r="B4" s="135" t="str">
        <f>COVER!A17</f>
        <v xml:space="preserve"> Mt Zion CUSD 3</v>
      </c>
      <c r="E4" s="1828">
        <v>44119</v>
      </c>
      <c r="F4" s="1829">
        <v>44151</v>
      </c>
      <c r="G4" s="1899">
        <v>101000600</v>
      </c>
    </row>
    <row r="5" spans="1:7" ht="15" x14ac:dyDescent="0.25">
      <c r="A5" t="s">
        <v>699</v>
      </c>
      <c r="B5" s="135" t="str">
        <f>COVER!A38</f>
        <v>Mr. Travis Roundcount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1529</v>
      </c>
      <c r="B12" s="135" t="str">
        <f>IF(COVER!J29="x","Yes",IF(COVER!L29="X","No",0))</f>
        <v>Yes</v>
      </c>
      <c r="G12" s="1899">
        <v>202100600</v>
      </c>
    </row>
    <row r="13" spans="1:7" ht="15" x14ac:dyDescent="0.25">
      <c r="A13" s="1" t="s">
        <v>1530</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066-003844</v>
      </c>
      <c r="G15" s="1899">
        <v>402100400</v>
      </c>
    </row>
    <row r="16" spans="1:7" ht="15" x14ac:dyDescent="0.25">
      <c r="A16" t="s">
        <v>419</v>
      </c>
      <c r="B16" s="135" t="str">
        <f>COVER!T13</f>
        <v>BKD, LLP</v>
      </c>
      <c r="G16" s="1899">
        <v>402100600</v>
      </c>
    </row>
    <row r="17" spans="1:7" ht="15" x14ac:dyDescent="0.25">
      <c r="A17" t="s">
        <v>878</v>
      </c>
      <c r="B17" s="135" t="str">
        <f>COVER!T15</f>
        <v>Heather Powell</v>
      </c>
      <c r="G17" s="1899">
        <v>402100800</v>
      </c>
    </row>
    <row r="18" spans="1:7" ht="15" x14ac:dyDescent="0.25">
      <c r="A18" t="s">
        <v>1142</v>
      </c>
      <c r="B18" s="135" t="str">
        <f>COVER!T17</f>
        <v>225 North Water Street, Suite 400</v>
      </c>
      <c r="G18" s="1899">
        <v>102200300</v>
      </c>
    </row>
    <row r="19" spans="1:7" ht="15" x14ac:dyDescent="0.25">
      <c r="A19" t="s">
        <v>880</v>
      </c>
      <c r="B19" s="135" t="str">
        <f>COVER!T25</f>
        <v>hpowell@bkd.com</v>
      </c>
      <c r="G19" s="1899">
        <v>102200400</v>
      </c>
    </row>
    <row r="20" spans="1:7" ht="15" x14ac:dyDescent="0.25">
      <c r="A20" t="s">
        <v>881</v>
      </c>
      <c r="B20" s="135" t="str">
        <f>COVER!T19</f>
        <v xml:space="preserve">Decatur </v>
      </c>
      <c r="G20" s="1899">
        <v>102200600</v>
      </c>
    </row>
    <row r="21" spans="1:7" ht="15" x14ac:dyDescent="0.25">
      <c r="A21" t="s">
        <v>476</v>
      </c>
      <c r="B21" s="135" t="str">
        <f>COVER!X19</f>
        <v>IL</v>
      </c>
      <c r="G21" s="1899">
        <v>102200800</v>
      </c>
    </row>
    <row r="22" spans="1:7" ht="15" x14ac:dyDescent="0.25">
      <c r="A22" t="s">
        <v>882</v>
      </c>
      <c r="B22" s="135">
        <f>COVER!Z19</f>
        <v>62523</v>
      </c>
      <c r="G22" s="1899">
        <v>102300300</v>
      </c>
    </row>
    <row r="23" spans="1:7" ht="15" x14ac:dyDescent="0.25">
      <c r="A23" t="s">
        <v>1144</v>
      </c>
      <c r="B23" s="135" t="str">
        <f>COVER!T21</f>
        <v>217-429-2411</v>
      </c>
      <c r="G23" s="1899">
        <v>102300400</v>
      </c>
    </row>
    <row r="24" spans="1:7" ht="15" x14ac:dyDescent="0.25">
      <c r="A24" t="s">
        <v>1143</v>
      </c>
      <c r="B24" s="135">
        <f>COVER!Y21</f>
        <v>0</v>
      </c>
      <c r="G24" s="1899">
        <v>102300600</v>
      </c>
    </row>
    <row r="25" spans="1:7" ht="15" x14ac:dyDescent="0.25">
      <c r="A25" t="s">
        <v>756</v>
      </c>
      <c r="B25" s="135">
        <f>COVER!B34</f>
        <v>0</v>
      </c>
      <c r="G25" s="1899">
        <v>102300800</v>
      </c>
    </row>
    <row r="26" spans="1:7" ht="15" x14ac:dyDescent="0.25">
      <c r="A26" t="s">
        <v>1145</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1467</v>
      </c>
      <c r="B49" s="135" t="str">
        <f>IF('Aud Quest 2'!B53="x","Yes",IF('Aud Quest 2'!B53&lt;&gt;"x","0"))</f>
        <v>0</v>
      </c>
      <c r="G49" s="1899">
        <v>102540800</v>
      </c>
    </row>
    <row r="50" spans="1:7" ht="15" x14ac:dyDescent="0.25">
      <c r="A50" s="1" t="s">
        <v>1466</v>
      </c>
      <c r="B50" s="146">
        <f>'Aud Quest 2'!H53</f>
        <v>0</v>
      </c>
      <c r="G50" s="1899">
        <v>202540300</v>
      </c>
    </row>
    <row r="51" spans="1:7" ht="15" x14ac:dyDescent="0.25">
      <c r="A51" s="1" t="s">
        <v>1468</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3641126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57135</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57135</v>
      </c>
      <c r="C91" s="2" t="s">
        <v>569</v>
      </c>
      <c r="D91" s="2" t="str">
        <f t="shared" si="0"/>
        <v>Error?</v>
      </c>
      <c r="G91" s="1899">
        <v>102640400</v>
      </c>
    </row>
    <row r="92" spans="1:7" ht="15" x14ac:dyDescent="0.25">
      <c r="A92" s="5">
        <v>31</v>
      </c>
      <c r="B92" s="1832">
        <f>'Assets-Liab 5-6'!C39</f>
        <v>3583991</v>
      </c>
      <c r="D92" s="2" t="str">
        <f t="shared" si="0"/>
        <v>Error?</v>
      </c>
      <c r="G92" s="1899">
        <v>102640600</v>
      </c>
    </row>
    <row r="93" spans="1:7" ht="15" x14ac:dyDescent="0.25">
      <c r="A93" s="5">
        <v>32</v>
      </c>
      <c r="B93" s="1832">
        <f>'Assets-Liab 5-6'!C41</f>
        <v>3641126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845015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845015</v>
      </c>
      <c r="D123" s="2" t="str">
        <f t="shared" si="0"/>
        <v>Error?</v>
      </c>
      <c r="G123" s="1899">
        <v>203000400</v>
      </c>
    </row>
    <row r="124" spans="1:7" ht="15" x14ac:dyDescent="0.25">
      <c r="A124" s="5">
        <v>63</v>
      </c>
      <c r="B124" s="1832">
        <f>'Assets-Liab 5-6'!D41</f>
        <v>845015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517039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517039</v>
      </c>
      <c r="D140" s="2" t="str">
        <f t="shared" si="1"/>
        <v>Error?</v>
      </c>
    </row>
    <row r="141" spans="1:7" x14ac:dyDescent="0.2">
      <c r="A141" s="5">
        <v>80</v>
      </c>
      <c r="B141" s="1832">
        <f>'Assets-Liab 5-6'!E41</f>
        <v>517039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613315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613315</v>
      </c>
      <c r="D170" s="2" t="str">
        <f t="shared" si="1"/>
        <v>Error?</v>
      </c>
    </row>
    <row r="171" spans="1:4" x14ac:dyDescent="0.2">
      <c r="A171" s="5">
        <v>110</v>
      </c>
      <c r="B171" s="1832">
        <f>'Assets-Liab 5-6'!F41</f>
        <v>613315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376662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307315</v>
      </c>
      <c r="D189" s="2" t="str">
        <f t="shared" si="1"/>
        <v>Error?</v>
      </c>
    </row>
    <row r="190" spans="1:4" x14ac:dyDescent="0.2">
      <c r="A190" s="5">
        <v>129</v>
      </c>
      <c r="B190" s="1832">
        <f>'Assets-Liab 5-6'!G41</f>
        <v>376662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1101310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1101310</v>
      </c>
      <c r="D212" s="2" t="str">
        <f t="shared" si="2"/>
        <v>Error?</v>
      </c>
    </row>
    <row r="213" spans="1:4" x14ac:dyDescent="0.2">
      <c r="A213" s="12">
        <v>152</v>
      </c>
      <c r="B213" s="1832">
        <f>'Assets-Liab 5-6'!H41</f>
        <v>1101310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411741</v>
      </c>
      <c r="D273" s="2" t="str">
        <f t="shared" si="3"/>
        <v>Error?</v>
      </c>
    </row>
    <row r="274" spans="1:4" x14ac:dyDescent="0.2">
      <c r="A274" s="5">
        <v>213</v>
      </c>
      <c r="B274" s="1832">
        <f>'Assets-Liab 5-6'!M17</f>
        <v>49919382</v>
      </c>
      <c r="D274" s="2" t="str">
        <f t="shared" si="3"/>
        <v>Error?</v>
      </c>
    </row>
    <row r="275" spans="1:4" x14ac:dyDescent="0.2">
      <c r="A275" s="5">
        <v>214</v>
      </c>
      <c r="B275" s="1832">
        <f>'Assets-Liab 5-6'!M18</f>
        <v>2427918</v>
      </c>
      <c r="D275" s="2" t="str">
        <f t="shared" si="3"/>
        <v>Error?</v>
      </c>
    </row>
    <row r="276" spans="1:4" x14ac:dyDescent="0.2">
      <c r="A276" s="5">
        <v>215</v>
      </c>
      <c r="B276" s="1832">
        <f>'Assets-Liab 5-6'!M19</f>
        <v>6246682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59005723</v>
      </c>
      <c r="C279" s="2" t="s">
        <v>569</v>
      </c>
      <c r="D279" s="2" t="str">
        <f t="shared" si="3"/>
        <v>Error?</v>
      </c>
    </row>
    <row r="280" spans="1:4" x14ac:dyDescent="0.2">
      <c r="A280" s="5">
        <v>219</v>
      </c>
      <c r="B280" s="1832">
        <f>'Assets-Liab 5-6'!M40</f>
        <v>59005723</v>
      </c>
      <c r="D280" s="2" t="str">
        <f t="shared" si="3"/>
        <v>Error?</v>
      </c>
    </row>
    <row r="281" spans="1:4" x14ac:dyDescent="0.2">
      <c r="A281" s="5">
        <v>220</v>
      </c>
      <c r="B281" s="1832">
        <f>'Assets-Liab 5-6'!M41</f>
        <v>59005723</v>
      </c>
      <c r="C281" s="2" t="s">
        <v>569</v>
      </c>
      <c r="D281" s="2" t="str">
        <f t="shared" si="3"/>
        <v>Error?</v>
      </c>
    </row>
    <row r="282" spans="1:4" x14ac:dyDescent="0.2">
      <c r="A282" s="5">
        <v>221</v>
      </c>
      <c r="B282" s="1832">
        <f>'Assets-Liab 5-6'!N21</f>
        <v>517039</v>
      </c>
      <c r="D282" s="2" t="str">
        <f t="shared" si="3"/>
        <v>Error?</v>
      </c>
    </row>
    <row r="283" spans="1:4" x14ac:dyDescent="0.2">
      <c r="A283" s="5">
        <v>222</v>
      </c>
      <c r="B283" s="1832">
        <f>'Assets-Liab 5-6'!N22</f>
        <v>26257961</v>
      </c>
      <c r="D283" s="2" t="str">
        <f t="shared" si="3"/>
        <v>Error?</v>
      </c>
    </row>
    <row r="284" spans="1:4" x14ac:dyDescent="0.2">
      <c r="A284" s="5">
        <v>223</v>
      </c>
      <c r="B284" s="1832">
        <f>'Assets-Liab 5-6'!N23</f>
        <v>26775000</v>
      </c>
      <c r="C284" s="2" t="s">
        <v>569</v>
      </c>
      <c r="D284" s="2" t="str">
        <f t="shared" si="3"/>
        <v>Error?</v>
      </c>
    </row>
    <row r="285" spans="1:4" x14ac:dyDescent="0.2">
      <c r="A285" s="5">
        <v>224</v>
      </c>
      <c r="B285" s="1832">
        <f>'Assets-Liab 5-6'!N36</f>
        <v>26775000</v>
      </c>
      <c r="D285" s="2" t="str">
        <f t="shared" si="3"/>
        <v>Error?</v>
      </c>
    </row>
    <row r="286" spans="1:4" x14ac:dyDescent="0.2">
      <c r="A286" s="10">
        <v>225</v>
      </c>
      <c r="B286" s="1832"/>
      <c r="D286" s="2" t="str">
        <f t="shared" si="3"/>
        <v>OK</v>
      </c>
    </row>
    <row r="287" spans="1:4" x14ac:dyDescent="0.2">
      <c r="A287" s="5">
        <v>226</v>
      </c>
      <c r="B287" s="1832">
        <f>'Assets-Liab 5-6'!N37</f>
        <v>26775000</v>
      </c>
      <c r="C287" s="2" t="s">
        <v>569</v>
      </c>
      <c r="D287" s="2" t="str">
        <f t="shared" si="3"/>
        <v>Error?</v>
      </c>
    </row>
    <row r="288" spans="1:4" x14ac:dyDescent="0.2">
      <c r="A288" s="5">
        <v>227</v>
      </c>
      <c r="B288" s="1832">
        <f>'Assets-Liab 5-6'!N41</f>
        <v>26775000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7597550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219008</v>
      </c>
      <c r="D718" s="2" t="str">
        <f t="shared" si="10"/>
        <v>Error?</v>
      </c>
    </row>
    <row r="719" spans="1:4" x14ac:dyDescent="0.2">
      <c r="A719" s="5">
        <v>658</v>
      </c>
      <c r="B719" s="1832">
        <f>'Expenditures 15-22'!C15</f>
        <v>6969</v>
      </c>
      <c r="D719" s="2" t="str">
        <f t="shared" si="10"/>
        <v>Error?</v>
      </c>
    </row>
    <row r="720" spans="1:4" x14ac:dyDescent="0.2">
      <c r="A720" s="5">
        <v>659</v>
      </c>
      <c r="B720" s="1832">
        <f>'Expenditures 15-22'!C33</f>
        <v>9241362</v>
      </c>
      <c r="C720" s="2" t="s">
        <v>569</v>
      </c>
      <c r="D720" s="2" t="str">
        <f t="shared" si="10"/>
        <v>Error?</v>
      </c>
    </row>
    <row r="721" spans="1:4" x14ac:dyDescent="0.2">
      <c r="A721" s="5">
        <v>660</v>
      </c>
      <c r="B721" s="1832">
        <f>'Expenditures 15-22'!C36</f>
        <v>202597</v>
      </c>
      <c r="D721" s="2" t="str">
        <f t="shared" si="10"/>
        <v>Error?</v>
      </c>
    </row>
    <row r="722" spans="1:4" x14ac:dyDescent="0.2">
      <c r="A722" s="5">
        <v>661</v>
      </c>
      <c r="B722" s="1832">
        <f>'Expenditures 15-22'!C37</f>
        <v>224283</v>
      </c>
      <c r="D722" s="2" t="str">
        <f t="shared" si="10"/>
        <v>Error?</v>
      </c>
    </row>
    <row r="723" spans="1:4" x14ac:dyDescent="0.2">
      <c r="A723" s="5">
        <v>662</v>
      </c>
      <c r="B723" s="1832">
        <f>'Expenditures 15-22'!C38</f>
        <v>34823</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461703</v>
      </c>
      <c r="C727" s="2" t="s">
        <v>569</v>
      </c>
      <c r="D727" s="2" t="str">
        <f t="shared" si="10"/>
        <v>Error?</v>
      </c>
    </row>
    <row r="728" spans="1:4" x14ac:dyDescent="0.2">
      <c r="A728" s="5">
        <v>667</v>
      </c>
      <c r="B728" s="1832">
        <f>'Expenditures 15-22'!C44</f>
        <v>35298</v>
      </c>
      <c r="D728" s="2" t="str">
        <f t="shared" si="10"/>
        <v>Error?</v>
      </c>
    </row>
    <row r="729" spans="1:4" x14ac:dyDescent="0.2">
      <c r="A729" s="5">
        <v>668</v>
      </c>
      <c r="B729" s="1832">
        <f>'Expenditures 15-22'!C45</f>
        <v>116664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151962</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204577</v>
      </c>
      <c r="D733" s="2" t="str">
        <f t="shared" si="10"/>
        <v>Error?</v>
      </c>
    </row>
    <row r="734" spans="1:4" x14ac:dyDescent="0.2">
      <c r="A734" s="5">
        <v>673</v>
      </c>
      <c r="B734" s="1832">
        <f>'Expenditures 15-22'!C53</f>
        <v>204577</v>
      </c>
      <c r="C734" s="2" t="s">
        <v>569</v>
      </c>
      <c r="D734" s="2" t="str">
        <f t="shared" si="10"/>
        <v>Error?</v>
      </c>
    </row>
    <row r="735" spans="1:4" x14ac:dyDescent="0.2">
      <c r="A735" s="5">
        <v>674</v>
      </c>
      <c r="B735" s="1832">
        <f>'Expenditures 15-22'!C55</f>
        <v>1030173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1030173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182308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357308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539616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2388031</v>
      </c>
      <c r="C755" s="2" t="s">
        <v>569</v>
      </c>
      <c r="D755" s="2" t="str">
        <f t="shared" si="10"/>
        <v>Error?</v>
      </c>
    </row>
    <row r="756" spans="1:4" x14ac:dyDescent="0.2">
      <c r="A756" s="5">
        <v>695</v>
      </c>
      <c r="B756" s="1832">
        <f>'Expenditures 15-22'!C75</f>
        <v>135992</v>
      </c>
      <c r="D756" s="2" t="str">
        <f t="shared" si="10"/>
        <v>Error?</v>
      </c>
    </row>
    <row r="757" spans="1:4" x14ac:dyDescent="0.2">
      <c r="A757" s="5">
        <v>696</v>
      </c>
      <c r="B757" s="1832">
        <f>'Expenditures 15-22'!C114</f>
        <v>11765385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1832569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16108</v>
      </c>
      <c r="D776" s="2" t="str">
        <f t="shared" si="11"/>
        <v>Error?</v>
      </c>
    </row>
    <row r="777" spans="1:4" x14ac:dyDescent="0.2">
      <c r="A777" s="5">
        <v>716</v>
      </c>
      <c r="B777" s="1832">
        <f>'Expenditures 15-22'!D15</f>
        <v>849</v>
      </c>
      <c r="D777" s="2" t="str">
        <f t="shared" si="11"/>
        <v>Error?</v>
      </c>
    </row>
    <row r="778" spans="1:4" x14ac:dyDescent="0.2">
      <c r="A778" s="5">
        <v>717</v>
      </c>
      <c r="B778" s="1832">
        <f>'Expenditures 15-22'!D33</f>
        <v>2161246</v>
      </c>
      <c r="C778" s="2" t="s">
        <v>569</v>
      </c>
      <c r="D778" s="2" t="str">
        <f t="shared" si="11"/>
        <v>Error?</v>
      </c>
    </row>
    <row r="779" spans="1:4" x14ac:dyDescent="0.2">
      <c r="A779" s="5">
        <v>718</v>
      </c>
      <c r="B779" s="1832">
        <f>'Expenditures 15-22'!D36</f>
        <v>52765</v>
      </c>
      <c r="D779" s="2" t="str">
        <f t="shared" si="11"/>
        <v>Error?</v>
      </c>
    </row>
    <row r="780" spans="1:4" x14ac:dyDescent="0.2">
      <c r="A780" s="5">
        <v>719</v>
      </c>
      <c r="B780" s="1832">
        <f>'Expenditures 15-22'!D37</f>
        <v>48198</v>
      </c>
      <c r="D780" s="2" t="str">
        <f t="shared" si="11"/>
        <v>Error?</v>
      </c>
    </row>
    <row r="781" spans="1:4" x14ac:dyDescent="0.2">
      <c r="A781" s="5">
        <v>720</v>
      </c>
      <c r="B781" s="1832">
        <f>'Expenditures 15-22'!D38</f>
        <v>14955</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115918</v>
      </c>
      <c r="C785" s="2" t="s">
        <v>569</v>
      </c>
      <c r="D785" s="2" t="str">
        <f t="shared" si="11"/>
        <v>Error?</v>
      </c>
    </row>
    <row r="786" spans="1:4" x14ac:dyDescent="0.2">
      <c r="A786" s="5">
        <v>725</v>
      </c>
      <c r="B786" s="1832">
        <f>'Expenditures 15-22'!D44</f>
        <v>11936</v>
      </c>
      <c r="D786" s="2" t="str">
        <f t="shared" si="11"/>
        <v>Error?</v>
      </c>
    </row>
    <row r="787" spans="1:4" x14ac:dyDescent="0.2">
      <c r="A787" s="5">
        <v>726</v>
      </c>
      <c r="B787" s="1832">
        <f>'Expenditures 15-22'!D45</f>
        <v>24999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36935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31763</v>
      </c>
      <c r="D791" s="2" t="str">
        <f t="shared" si="11"/>
        <v>Error?</v>
      </c>
    </row>
    <row r="792" spans="1:4" x14ac:dyDescent="0.2">
      <c r="A792" s="5">
        <v>731</v>
      </c>
      <c r="B792" s="1832">
        <f>'Expenditures 15-22'!D53</f>
        <v>31763</v>
      </c>
      <c r="C792" s="2" t="s">
        <v>569</v>
      </c>
      <c r="D792" s="2" t="str">
        <f t="shared" si="11"/>
        <v>Error?</v>
      </c>
    </row>
    <row r="793" spans="1:4" x14ac:dyDescent="0.2">
      <c r="A793" s="5">
        <v>732</v>
      </c>
      <c r="B793" s="1832">
        <f>'Expenditures 15-22'!D55</f>
        <v>206712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206712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35739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26285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62024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453352</v>
      </c>
      <c r="C813" s="2" t="s">
        <v>569</v>
      </c>
      <c r="D813" s="2" t="str">
        <f t="shared" si="11"/>
        <v>Error?</v>
      </c>
    </row>
    <row r="814" spans="1:4" x14ac:dyDescent="0.2">
      <c r="A814" s="5">
        <v>753</v>
      </c>
      <c r="B814" s="1832">
        <f>'Expenditures 15-22'!D75</f>
        <v>28232</v>
      </c>
      <c r="D814" s="2" t="str">
        <f t="shared" si="11"/>
        <v>Error?</v>
      </c>
    </row>
    <row r="815" spans="1:4" x14ac:dyDescent="0.2">
      <c r="A815" s="5">
        <v>754</v>
      </c>
      <c r="B815" s="1832">
        <f>'Expenditures 15-22'!D114</f>
        <v>2642830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219760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47323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267283</v>
      </c>
      <c r="C836" s="2" t="s">
        <v>569</v>
      </c>
      <c r="D836" s="2" t="str">
        <f t="shared" si="12"/>
        <v>Error?</v>
      </c>
    </row>
    <row r="837" spans="1:4" x14ac:dyDescent="0.2">
      <c r="A837" s="5">
        <v>776</v>
      </c>
      <c r="B837" s="1832">
        <f>'Expenditures 15-22'!E36</f>
        <v>42993</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3912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46905</v>
      </c>
      <c r="C843" s="2" t="s">
        <v>569</v>
      </c>
      <c r="D843" s="2" t="str">
        <f t="shared" si="12"/>
        <v>Error?</v>
      </c>
    </row>
    <row r="844" spans="1:4" x14ac:dyDescent="0.2">
      <c r="A844" s="5">
        <v>783</v>
      </c>
      <c r="B844" s="1832">
        <f>'Expenditures 15-22'!E44</f>
        <v>16376</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16376</v>
      </c>
      <c r="C847" s="2" t="s">
        <v>569</v>
      </c>
      <c r="D847" s="2" t="str">
        <f t="shared" si="12"/>
        <v>Error?</v>
      </c>
    </row>
    <row r="848" spans="1:4" x14ac:dyDescent="0.2">
      <c r="A848" s="5">
        <v>787</v>
      </c>
      <c r="B848" s="1832">
        <f>'Expenditures 15-22'!E49</f>
        <v>42709</v>
      </c>
      <c r="D848" s="2" t="str">
        <f t="shared" si="12"/>
        <v>Error?</v>
      </c>
    </row>
    <row r="849" spans="1:4" x14ac:dyDescent="0.2">
      <c r="A849" s="5">
        <v>788</v>
      </c>
      <c r="B849" s="1832">
        <f>'Expenditures 15-22'!E50</f>
        <v>12758</v>
      </c>
      <c r="D849" s="2" t="str">
        <f t="shared" si="12"/>
        <v>Error?</v>
      </c>
    </row>
    <row r="850" spans="1:4" x14ac:dyDescent="0.2">
      <c r="A850" s="5">
        <v>789</v>
      </c>
      <c r="B850" s="1832">
        <f>'Expenditures 15-22'!E53</f>
        <v>55467</v>
      </c>
      <c r="C850" s="2" t="s">
        <v>569</v>
      </c>
      <c r="D850" s="2" t="str">
        <f t="shared" si="12"/>
        <v>Error?</v>
      </c>
    </row>
    <row r="851" spans="1:4" x14ac:dyDescent="0.2">
      <c r="A851" s="5">
        <v>790</v>
      </c>
      <c r="B851" s="1832">
        <f>'Expenditures 15-22'!E55</f>
        <v>17737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17737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104685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14296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118981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255466</v>
      </c>
      <c r="C871" s="2" t="s">
        <v>569</v>
      </c>
      <c r="D871" s="2" t="str">
        <f t="shared" si="12"/>
        <v>Error?</v>
      </c>
    </row>
    <row r="872" spans="1:4" x14ac:dyDescent="0.2">
      <c r="A872" s="5">
        <v>811</v>
      </c>
      <c r="B872" s="1832">
        <f>'Expenditures 15-22'!E75</f>
        <v>350</v>
      </c>
      <c r="D872" s="2" t="str">
        <f t="shared" si="12"/>
        <v>Error?</v>
      </c>
    </row>
    <row r="873" spans="1:4" x14ac:dyDescent="0.2">
      <c r="A873" s="5">
        <v>812</v>
      </c>
      <c r="B873" s="1832">
        <f>'Expenditures 15-22'!E114</f>
        <v>523099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260324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21967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285184</v>
      </c>
      <c r="C894" s="2" t="s">
        <v>569</v>
      </c>
      <c r="D894" s="2" t="str">
        <f t="shared" si="12"/>
        <v>Error?</v>
      </c>
    </row>
    <row r="895" spans="1:4" x14ac:dyDescent="0.2">
      <c r="A895" s="5">
        <v>834</v>
      </c>
      <c r="B895" s="1832">
        <f>'Expenditures 15-22'!F36</f>
        <v>101</v>
      </c>
      <c r="D895" s="2" t="str">
        <f t="shared" ref="D895:D958" si="13">IF(ISBLANK(B895),"OK",IF(A895-B895=0,"OK","Error?"))</f>
        <v>Error?</v>
      </c>
    </row>
    <row r="896" spans="1:4" x14ac:dyDescent="0.2">
      <c r="A896" s="5">
        <v>835</v>
      </c>
      <c r="B896" s="1832">
        <f>'Expenditures 15-22'!F37</f>
        <v>1127</v>
      </c>
      <c r="D896" s="2" t="str">
        <f t="shared" si="13"/>
        <v>Error?</v>
      </c>
    </row>
    <row r="897" spans="1:4" x14ac:dyDescent="0.2">
      <c r="A897" s="5">
        <v>836</v>
      </c>
      <c r="B897" s="1832">
        <f>'Expenditures 15-22'!F38</f>
        <v>4988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6216</v>
      </c>
      <c r="C901" s="2" t="s">
        <v>569</v>
      </c>
      <c r="D901" s="2" t="str">
        <f t="shared" si="13"/>
        <v>Error?</v>
      </c>
    </row>
    <row r="902" spans="1:4" x14ac:dyDescent="0.2">
      <c r="A902" s="5">
        <v>841</v>
      </c>
      <c r="B902" s="1832">
        <f>'Expenditures 15-22'!F44</f>
        <v>66189</v>
      </c>
      <c r="D902" s="2" t="str">
        <f t="shared" si="13"/>
        <v>Error?</v>
      </c>
    </row>
    <row r="903" spans="1:4" x14ac:dyDescent="0.2">
      <c r="A903" s="5">
        <v>842</v>
      </c>
      <c r="B903" s="1832">
        <f>'Expenditures 15-22'!F45</f>
        <v>20116</v>
      </c>
      <c r="D903" s="2" t="str">
        <f t="shared" si="13"/>
        <v>Error?</v>
      </c>
    </row>
    <row r="904" spans="1:4" x14ac:dyDescent="0.2">
      <c r="A904" s="5">
        <v>843</v>
      </c>
      <c r="B904" s="1832">
        <f>'Expenditures 15-22'!F46</f>
        <v>677</v>
      </c>
      <c r="D904" s="2" t="str">
        <f t="shared" si="13"/>
        <v>Error?</v>
      </c>
    </row>
    <row r="905" spans="1:4" x14ac:dyDescent="0.2">
      <c r="A905" s="5">
        <v>844</v>
      </c>
      <c r="B905" s="1832">
        <f>'Expenditures 15-22'!F47</f>
        <v>86982</v>
      </c>
      <c r="C905" s="2" t="s">
        <v>569</v>
      </c>
      <c r="D905" s="2" t="str">
        <f t="shared" si="13"/>
        <v>Error?</v>
      </c>
    </row>
    <row r="906" spans="1:4" x14ac:dyDescent="0.2">
      <c r="A906" s="5">
        <v>845</v>
      </c>
      <c r="B906" s="1832">
        <f>'Expenditures 15-22'!F49</f>
        <v>188</v>
      </c>
      <c r="D906" s="2" t="str">
        <f t="shared" si="13"/>
        <v>Error?</v>
      </c>
    </row>
    <row r="907" spans="1:4" x14ac:dyDescent="0.2">
      <c r="A907" s="5">
        <v>846</v>
      </c>
      <c r="B907" s="1832">
        <f>'Expenditures 15-22'!F50</f>
        <v>48746</v>
      </c>
      <c r="D907" s="2" t="str">
        <f t="shared" si="13"/>
        <v>Error?</v>
      </c>
    </row>
    <row r="908" spans="1:4" x14ac:dyDescent="0.2">
      <c r="A908" s="5">
        <v>847</v>
      </c>
      <c r="B908" s="1832">
        <f>'Expenditures 15-22'!F53</f>
        <v>48934</v>
      </c>
      <c r="C908" s="2" t="s">
        <v>569</v>
      </c>
      <c r="D908" s="2" t="str">
        <f t="shared" si="13"/>
        <v>Error?</v>
      </c>
    </row>
    <row r="909" spans="1:4" x14ac:dyDescent="0.2">
      <c r="A909" s="5">
        <v>848</v>
      </c>
      <c r="B909" s="1832">
        <f>'Expenditures 15-22'!F55</f>
        <v>20580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20580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3044</v>
      </c>
      <c r="D913" s="2" t="str">
        <f t="shared" si="13"/>
        <v>Error?</v>
      </c>
    </row>
    <row r="914" spans="1:4" x14ac:dyDescent="0.2">
      <c r="A914" s="5">
        <v>853</v>
      </c>
      <c r="B914" s="1832">
        <f>'Expenditures 15-22'!F61</f>
        <v>81815</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420942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505801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668513</v>
      </c>
      <c r="C929" s="2" t="s">
        <v>569</v>
      </c>
      <c r="D929" s="2" t="str">
        <f t="shared" si="13"/>
        <v>Error?</v>
      </c>
    </row>
    <row r="930" spans="1:4" x14ac:dyDescent="0.2">
      <c r="A930" s="5">
        <v>869</v>
      </c>
      <c r="B930" s="1832">
        <f>'Expenditures 15-22'!F75</f>
        <v>6939</v>
      </c>
      <c r="D930" s="2" t="str">
        <f t="shared" si="13"/>
        <v>Error?</v>
      </c>
    </row>
    <row r="931" spans="1:4" x14ac:dyDescent="0.2">
      <c r="A931" s="5">
        <v>870</v>
      </c>
      <c r="B931" s="1832">
        <f>'Expenditures 15-22'!F114</f>
        <v>960636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99390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25962</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125352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3098</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3098</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1140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1140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29220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29220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33458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158810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119</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119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7472</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7472</v>
      </c>
      <c r="C1024" s="2" t="s">
        <v>569</v>
      </c>
      <c r="D1024" s="2" t="str">
        <f t="shared" si="15"/>
        <v>Error?</v>
      </c>
    </row>
    <row r="1025" spans="1:4" x14ac:dyDescent="0.2">
      <c r="A1025" s="5">
        <v>964</v>
      </c>
      <c r="B1025" s="1832">
        <f>'Expenditures 15-22'!H55</f>
        <v>1805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1805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9292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1376788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1386199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10009712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330368</v>
      </c>
      <c r="C1106" s="2" t="s">
        <v>569</v>
      </c>
      <c r="D1106" s="2" t="str">
        <f t="shared" si="16"/>
        <v>Error?</v>
      </c>
    </row>
    <row r="1107" spans="1:4" x14ac:dyDescent="0.2">
      <c r="A1107" s="5">
        <v>1046</v>
      </c>
      <c r="B1107" s="1832">
        <f>'Expenditures 15-22'!K15</f>
        <v>7818</v>
      </c>
      <c r="C1107" s="2" t="s">
        <v>569</v>
      </c>
      <c r="D1107" s="2" t="str">
        <f t="shared" si="16"/>
        <v>Error?</v>
      </c>
    </row>
    <row r="1108" spans="1:4" x14ac:dyDescent="0.2">
      <c r="A1108" s="5">
        <v>1047</v>
      </c>
      <c r="B1108" s="1832">
        <f>'Expenditures 15-22'!K33</f>
        <v>12080546</v>
      </c>
      <c r="C1108" s="2" t="s">
        <v>569</v>
      </c>
      <c r="D1108" s="2" t="str">
        <f t="shared" si="16"/>
        <v>Error?</v>
      </c>
    </row>
    <row r="1109" spans="1:4" x14ac:dyDescent="0.2">
      <c r="A1109" s="5">
        <v>1048</v>
      </c>
      <c r="B1109" s="1832">
        <f>'Expenditures 15-22'!K36</f>
        <v>298456</v>
      </c>
      <c r="C1109" s="2" t="s">
        <v>569</v>
      </c>
      <c r="D1109" s="2" t="str">
        <f t="shared" si="16"/>
        <v>Error?</v>
      </c>
    </row>
    <row r="1110" spans="1:4" x14ac:dyDescent="0.2">
      <c r="A1110" s="5">
        <v>1049</v>
      </c>
      <c r="B1110" s="1832">
        <f>'Expenditures 15-22'!K37</f>
        <v>273608</v>
      </c>
      <c r="C1110" s="2" t="s">
        <v>569</v>
      </c>
      <c r="D1110" s="2" t="str">
        <f t="shared" si="16"/>
        <v>Error?</v>
      </c>
    </row>
    <row r="1111" spans="1:4" x14ac:dyDescent="0.2">
      <c r="A1111" s="5">
        <v>1050</v>
      </c>
      <c r="B1111" s="1832">
        <f>'Expenditures 15-22'!K38</f>
        <v>58678</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630742</v>
      </c>
      <c r="C1115" s="2" t="s">
        <v>569</v>
      </c>
      <c r="D1115" s="2" t="str">
        <f t="shared" si="16"/>
        <v>Error?</v>
      </c>
    </row>
    <row r="1116" spans="1:4" x14ac:dyDescent="0.2">
      <c r="A1116" s="5">
        <v>1055</v>
      </c>
      <c r="B1116" s="1832">
        <f>'Expenditures 15-22'!K44</f>
        <v>132897</v>
      </c>
      <c r="C1116" s="2" t="s">
        <v>569</v>
      </c>
      <c r="D1116" s="2" t="str">
        <f t="shared" si="16"/>
        <v>Error?</v>
      </c>
    </row>
    <row r="1117" spans="1:4" x14ac:dyDescent="0.2">
      <c r="A1117" s="5">
        <v>1056</v>
      </c>
      <c r="B1117" s="1832">
        <f>'Expenditures 15-22'!K45</f>
        <v>161779</v>
      </c>
      <c r="C1117" s="2" t="s">
        <v>569</v>
      </c>
      <c r="D1117" s="2" t="str">
        <f t="shared" si="16"/>
        <v>Error?</v>
      </c>
    </row>
    <row r="1118" spans="1:4" x14ac:dyDescent="0.2">
      <c r="A1118" s="5">
        <v>1057</v>
      </c>
      <c r="B1118" s="1832">
        <f>'Expenditures 15-22'!K46</f>
        <v>677</v>
      </c>
      <c r="C1118" s="2" t="s">
        <v>569</v>
      </c>
      <c r="D1118" s="2" t="str">
        <f t="shared" si="16"/>
        <v>Error?</v>
      </c>
    </row>
    <row r="1119" spans="1:4" x14ac:dyDescent="0.2">
      <c r="A1119" s="5">
        <v>1058</v>
      </c>
      <c r="B1119" s="1832">
        <f>'Expenditures 15-22'!K47</f>
        <v>295353</v>
      </c>
      <c r="C1119" s="2" t="s">
        <v>569</v>
      </c>
      <c r="D1119" s="2" t="str">
        <f t="shared" si="16"/>
        <v>Error?</v>
      </c>
    </row>
    <row r="1120" spans="1:4" x14ac:dyDescent="0.2">
      <c r="A1120" s="5">
        <v>1059</v>
      </c>
      <c r="B1120" s="1832">
        <f>'Expenditures 15-22'!K49</f>
        <v>50369</v>
      </c>
      <c r="C1120" s="2" t="s">
        <v>569</v>
      </c>
      <c r="D1120" s="2" t="str">
        <f t="shared" si="16"/>
        <v>Error?</v>
      </c>
    </row>
    <row r="1121" spans="1:4" x14ac:dyDescent="0.2">
      <c r="A1121" s="5">
        <v>1060</v>
      </c>
      <c r="B1121" s="1832">
        <f>'Expenditures 15-22'!K50</f>
        <v>297844</v>
      </c>
      <c r="C1121" s="2" t="s">
        <v>569</v>
      </c>
      <c r="D1121" s="2" t="str">
        <f t="shared" si="16"/>
        <v>Error?</v>
      </c>
    </row>
    <row r="1122" spans="1:4" x14ac:dyDescent="0.2">
      <c r="A1122" s="5">
        <v>1061</v>
      </c>
      <c r="B1122" s="1832">
        <f>'Expenditures 15-22'!K53</f>
        <v>348213</v>
      </c>
      <c r="C1122" s="2" t="s">
        <v>569</v>
      </c>
      <c r="D1122" s="2" t="str">
        <f t="shared" si="16"/>
        <v>Error?</v>
      </c>
    </row>
    <row r="1123" spans="1:4" x14ac:dyDescent="0.2">
      <c r="A1123" s="5">
        <v>1062</v>
      </c>
      <c r="B1123" s="1832">
        <f>'Expenditures 15-22'!K55</f>
        <v>1278147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1278147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325791</v>
      </c>
      <c r="C1127" s="2" t="s">
        <v>569</v>
      </c>
      <c r="D1127" s="2" t="str">
        <f t="shared" si="16"/>
        <v>Error?</v>
      </c>
    </row>
    <row r="1128" spans="1:4" x14ac:dyDescent="0.2">
      <c r="A1128" s="5">
        <v>1067</v>
      </c>
      <c r="B1128" s="1832">
        <f>'Expenditures 15-22'!K61</f>
        <v>81815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848051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1255657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3808112</v>
      </c>
      <c r="C1143" s="2" t="s">
        <v>569</v>
      </c>
      <c r="D1143" s="2" t="str">
        <f t="shared" si="16"/>
        <v>Error?</v>
      </c>
    </row>
    <row r="1144" spans="1:4" x14ac:dyDescent="0.2">
      <c r="A1144" s="5">
        <v>1083</v>
      </c>
      <c r="B1144" s="1832">
        <f>'Expenditures 15-22'!K75</f>
        <v>171513</v>
      </c>
      <c r="C1144" s="2" t="s">
        <v>569</v>
      </c>
      <c r="D1144" s="2" t="str">
        <f t="shared" si="16"/>
        <v>Error?</v>
      </c>
    </row>
    <row r="1145" spans="1:4" x14ac:dyDescent="0.2">
      <c r="A1145" s="5">
        <v>1084</v>
      </c>
      <c r="B1145" s="1832">
        <f>'Expenditures 15-22'!K102</f>
        <v>1376788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17436959</v>
      </c>
      <c r="C1152" s="2" t="s">
        <v>569</v>
      </c>
      <c r="D1152" s="2" t="str">
        <f t="shared" si="17"/>
        <v>Error?</v>
      </c>
    </row>
    <row r="1153" spans="1:4" x14ac:dyDescent="0.2">
      <c r="A1153" s="5">
        <v>1092</v>
      </c>
      <c r="B1153" s="1832">
        <f>'Expenditures 15-22'!K115</f>
        <v>128729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502057</v>
      </c>
      <c r="D1221" s="2" t="str">
        <f t="shared" si="18"/>
        <v>Error?</v>
      </c>
    </row>
    <row r="1222" spans="1:4" x14ac:dyDescent="0.2">
      <c r="A1222" s="10">
        <v>1161</v>
      </c>
      <c r="B1222" s="1832"/>
      <c r="D1222" s="2" t="str">
        <f t="shared" si="18"/>
        <v>OK</v>
      </c>
    </row>
    <row r="1223" spans="1:4" x14ac:dyDescent="0.2">
      <c r="A1223" s="5">
        <v>1162</v>
      </c>
      <c r="B1223" s="1832">
        <f>'Expenditures 15-22'!C127</f>
        <v>502057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502057</v>
      </c>
      <c r="C1225" s="2" t="s">
        <v>569</v>
      </c>
      <c r="D1225" s="2" t="str">
        <f t="shared" si="18"/>
        <v>Error?</v>
      </c>
    </row>
    <row r="1226" spans="1:4" x14ac:dyDescent="0.2">
      <c r="A1226" s="5">
        <v>1165</v>
      </c>
      <c r="B1226" s="1832">
        <f>'Expenditures 15-22'!C151</f>
        <v>502057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93491</v>
      </c>
      <c r="D1229" s="2" t="str">
        <f t="shared" si="18"/>
        <v>Error?</v>
      </c>
    </row>
    <row r="1230" spans="1:4" x14ac:dyDescent="0.2">
      <c r="A1230" s="10">
        <v>1169</v>
      </c>
      <c r="B1230" s="1832"/>
      <c r="D1230" s="2" t="str">
        <f t="shared" si="18"/>
        <v>OK</v>
      </c>
    </row>
    <row r="1231" spans="1:4" x14ac:dyDescent="0.2">
      <c r="A1231" s="5">
        <v>1170</v>
      </c>
      <c r="B1231" s="1832">
        <f>'Expenditures 15-22'!D127</f>
        <v>93491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93491</v>
      </c>
      <c r="C1233" s="2" t="s">
        <v>569</v>
      </c>
      <c r="D1233" s="2" t="str">
        <f t="shared" si="18"/>
        <v>Error?</v>
      </c>
    </row>
    <row r="1234" spans="1:4" x14ac:dyDescent="0.2">
      <c r="A1234" s="5">
        <v>1173</v>
      </c>
      <c r="B1234" s="1832">
        <f>'Expenditures 15-22'!D151</f>
        <v>93491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239161</v>
      </c>
      <c r="D1237" s="2" t="str">
        <f t="shared" si="18"/>
        <v>Error?</v>
      </c>
    </row>
    <row r="1238" spans="1:4" x14ac:dyDescent="0.2">
      <c r="A1238" s="10">
        <v>1177</v>
      </c>
      <c r="B1238" s="1832"/>
      <c r="D1238" s="2" t="str">
        <f t="shared" si="18"/>
        <v>OK</v>
      </c>
    </row>
    <row r="1239" spans="1:4" x14ac:dyDescent="0.2">
      <c r="A1239" s="5">
        <v>1178</v>
      </c>
      <c r="B1239" s="1832">
        <f>'Expenditures 15-22'!E127</f>
        <v>239161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239161</v>
      </c>
      <c r="C1241" s="2" t="s">
        <v>569</v>
      </c>
      <c r="D1241" s="2" t="str">
        <f t="shared" si="18"/>
        <v>Error?</v>
      </c>
    </row>
    <row r="1242" spans="1:4" x14ac:dyDescent="0.2">
      <c r="A1242" s="5">
        <v>1181</v>
      </c>
      <c r="B1242" s="1832">
        <f>'Expenditures 15-22'!E151</f>
        <v>239161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589083</v>
      </c>
      <c r="D1245" s="2" t="str">
        <f t="shared" si="18"/>
        <v>Error?</v>
      </c>
    </row>
    <row r="1246" spans="1:4" x14ac:dyDescent="0.2">
      <c r="A1246" s="10">
        <v>1185</v>
      </c>
      <c r="B1246" s="1832"/>
      <c r="D1246" s="2" t="str">
        <f t="shared" si="18"/>
        <v>OK</v>
      </c>
    </row>
    <row r="1247" spans="1:4" x14ac:dyDescent="0.2">
      <c r="A1247" s="5">
        <v>1186</v>
      </c>
      <c r="B1247" s="1832">
        <f>'Expenditures 15-22'!F127</f>
        <v>589083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589083</v>
      </c>
      <c r="C1249" s="2" t="s">
        <v>569</v>
      </c>
      <c r="D1249" s="2" t="str">
        <f t="shared" si="18"/>
        <v>Error?</v>
      </c>
    </row>
    <row r="1250" spans="1:4" x14ac:dyDescent="0.2">
      <c r="A1250" s="5">
        <v>1189</v>
      </c>
      <c r="B1250" s="1832">
        <f>'Expenditures 15-22'!F151</f>
        <v>589083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22568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22568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22568</v>
      </c>
      <c r="C1258" s="2" t="s">
        <v>569</v>
      </c>
      <c r="D1258" s="2" t="str">
        <f t="shared" si="18"/>
        <v>Error?</v>
      </c>
    </row>
    <row r="1259" spans="1:4" x14ac:dyDescent="0.2">
      <c r="A1259" s="5">
        <v>1198</v>
      </c>
      <c r="B1259" s="1832">
        <f>'Expenditures 15-22'!G151</f>
        <v>22568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1446360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1446360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1446360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1446360</v>
      </c>
      <c r="C1288" s="2" t="s">
        <v>569</v>
      </c>
      <c r="D1288" s="2" t="str">
        <f t="shared" si="19"/>
        <v>Error?</v>
      </c>
    </row>
    <row r="1289" spans="1:4" x14ac:dyDescent="0.2">
      <c r="A1289" s="5">
        <v>1228</v>
      </c>
      <c r="B1289" s="1832">
        <f>'Expenditures 15-22'!K152</f>
        <v>2701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1299349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650000</v>
      </c>
      <c r="D1315" s="2" t="str">
        <f t="shared" si="19"/>
        <v>Error?</v>
      </c>
    </row>
    <row r="1316" spans="1:4" x14ac:dyDescent="0.2">
      <c r="A1316" s="5">
        <v>1255</v>
      </c>
      <c r="B1316" s="1832">
        <f>'Expenditures 15-22'!H171</f>
        <v>2500</v>
      </c>
      <c r="D1316" s="2" t="str">
        <f t="shared" si="19"/>
        <v>Error?</v>
      </c>
    </row>
    <row r="1317" spans="1:4" x14ac:dyDescent="0.2">
      <c r="A1317" s="5">
        <v>1256</v>
      </c>
      <c r="B1317" s="1832">
        <f>'Expenditures 15-22'!H172</f>
        <v>1951849</v>
      </c>
      <c r="C1317" s="2" t="s">
        <v>569</v>
      </c>
      <c r="D1317" s="2" t="str">
        <f t="shared" si="19"/>
        <v>Error?</v>
      </c>
    </row>
    <row r="1318" spans="1:4" x14ac:dyDescent="0.2">
      <c r="A1318" s="5">
        <v>1257</v>
      </c>
      <c r="B1318" s="1832">
        <f>'Expenditures 15-22'!H174</f>
        <v>1951849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1299349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650000</v>
      </c>
      <c r="C1329" s="2" t="s">
        <v>569</v>
      </c>
      <c r="D1329" s="2" t="str">
        <f t="shared" si="19"/>
        <v>Error?</v>
      </c>
    </row>
    <row r="1330" spans="1:4" x14ac:dyDescent="0.2">
      <c r="A1330" s="5">
        <v>1269</v>
      </c>
      <c r="B1330" s="1832">
        <f>'Expenditures 15-22'!K171</f>
        <v>2500</v>
      </c>
      <c r="C1330" s="2" t="s">
        <v>569</v>
      </c>
      <c r="D1330" s="2" t="str">
        <f t="shared" si="19"/>
        <v>Error?</v>
      </c>
    </row>
    <row r="1331" spans="1:4" x14ac:dyDescent="0.2">
      <c r="A1331" s="5">
        <v>1270</v>
      </c>
      <c r="B1331" s="1832">
        <f>'Expenditures 15-22'!K172</f>
        <v>1951849</v>
      </c>
      <c r="C1331" s="2" t="s">
        <v>569</v>
      </c>
      <c r="D1331" s="2" t="str">
        <f t="shared" si="19"/>
        <v>Error?</v>
      </c>
    </row>
    <row r="1332" spans="1:4" x14ac:dyDescent="0.2">
      <c r="A1332" s="5">
        <v>1271</v>
      </c>
      <c r="B1332" s="1832">
        <f>'Expenditures 15-22'!K174</f>
        <v>1951849</v>
      </c>
      <c r="C1332" s="2" t="s">
        <v>569</v>
      </c>
      <c r="D1332" s="2" t="str">
        <f t="shared" si="19"/>
        <v>Error?</v>
      </c>
    </row>
    <row r="1333" spans="1:4" x14ac:dyDescent="0.2">
      <c r="A1333" s="5">
        <v>1272</v>
      </c>
      <c r="B1333" s="1832">
        <f>'Expenditures 15-22'!K175</f>
        <v>51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624800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624800</v>
      </c>
      <c r="C1339" s="2" t="s">
        <v>569</v>
      </c>
      <c r="D1339" s="2" t="str">
        <f t="shared" si="19"/>
        <v>Error?</v>
      </c>
    </row>
    <row r="1340" spans="1:4" x14ac:dyDescent="0.2">
      <c r="A1340" s="5">
        <v>1279</v>
      </c>
      <c r="B1340" s="1832">
        <f>'Expenditures 15-22'!C210</f>
        <v>624800</v>
      </c>
      <c r="C1340" s="2" t="s">
        <v>569</v>
      </c>
      <c r="D1340" s="2" t="str">
        <f t="shared" si="19"/>
        <v>Error?</v>
      </c>
    </row>
    <row r="1341" spans="1:4" x14ac:dyDescent="0.2">
      <c r="A1341" s="5">
        <v>1280</v>
      </c>
      <c r="B1341" s="1832">
        <f>'Expenditures 15-22'!D182</f>
        <v>45476</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45476</v>
      </c>
      <c r="C1345" s="2" t="s">
        <v>569</v>
      </c>
      <c r="D1345" s="2" t="str">
        <f t="shared" si="20"/>
        <v>Error?</v>
      </c>
    </row>
    <row r="1346" spans="1:4" x14ac:dyDescent="0.2">
      <c r="A1346" s="5">
        <v>1285</v>
      </c>
      <c r="B1346" s="1832">
        <f>'Expenditures 15-22'!D210</f>
        <v>45476</v>
      </c>
      <c r="C1346" s="2" t="s">
        <v>569</v>
      </c>
      <c r="D1346" s="2" t="str">
        <f t="shared" si="20"/>
        <v>Error?</v>
      </c>
    </row>
    <row r="1347" spans="1:4" x14ac:dyDescent="0.2">
      <c r="A1347" s="5">
        <v>1286</v>
      </c>
      <c r="B1347" s="1832">
        <f>'Expenditures 15-22'!E182</f>
        <v>21386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21386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21386</v>
      </c>
      <c r="C1353" s="2" t="s">
        <v>569</v>
      </c>
      <c r="D1353" s="2" t="str">
        <f t="shared" si="20"/>
        <v>Error?</v>
      </c>
    </row>
    <row r="1354" spans="1:4" x14ac:dyDescent="0.2">
      <c r="A1354" s="5">
        <v>1293</v>
      </c>
      <c r="B1354" s="1832">
        <f>'Expenditures 15-22'!F182</f>
        <v>145519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145519</v>
      </c>
      <c r="C1358" s="2" t="s">
        <v>569</v>
      </c>
      <c r="D1358" s="2" t="str">
        <f t="shared" si="20"/>
        <v>Error?</v>
      </c>
    </row>
    <row r="1359" spans="1:4" x14ac:dyDescent="0.2">
      <c r="A1359" s="5">
        <v>1298</v>
      </c>
      <c r="B1359" s="1832">
        <f>'Expenditures 15-22'!F210</f>
        <v>145519</v>
      </c>
      <c r="C1359" s="2" t="s">
        <v>569</v>
      </c>
      <c r="D1359" s="2" t="str">
        <f t="shared" si="20"/>
        <v>Error?</v>
      </c>
    </row>
    <row r="1360" spans="1:4" x14ac:dyDescent="0.2">
      <c r="A1360" s="5">
        <v>1299</v>
      </c>
      <c r="B1360" s="1832">
        <f>'Expenditures 15-22'!G182</f>
        <v>542262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542262</v>
      </c>
      <c r="C1364" s="2" t="s">
        <v>569</v>
      </c>
      <c r="D1364" s="2" t="str">
        <f t="shared" si="20"/>
        <v>Error?</v>
      </c>
    </row>
    <row r="1365" spans="1:4" x14ac:dyDescent="0.2">
      <c r="A1365" s="5">
        <v>1304</v>
      </c>
      <c r="B1365" s="1832">
        <f>'Expenditures 15-22'!G210</f>
        <v>542262</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1379443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1379443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1379443</v>
      </c>
      <c r="C1388" s="2" t="s">
        <v>569</v>
      </c>
      <c r="D1388" s="2" t="str">
        <f t="shared" si="20"/>
        <v>Error?</v>
      </c>
    </row>
    <row r="1389" spans="1:4" x14ac:dyDescent="0.2">
      <c r="A1389" s="5">
        <v>1328</v>
      </c>
      <c r="B1389" s="1832">
        <f>'Expenditures 15-22'!K211</f>
        <v>1452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7815</v>
      </c>
      <c r="D1408" s="2" t="str">
        <f t="shared" si="21"/>
        <v>Error?</v>
      </c>
    </row>
    <row r="1409" spans="1:4" x14ac:dyDescent="0.2">
      <c r="A1409" s="5">
        <v>1348</v>
      </c>
      <c r="B1409" s="1832">
        <f>'Expenditures 15-22'!D224</f>
        <v>100</v>
      </c>
      <c r="D1409" s="2" t="str">
        <f t="shared" si="21"/>
        <v>Error?</v>
      </c>
    </row>
    <row r="1410" spans="1:4" x14ac:dyDescent="0.2">
      <c r="A1410" s="5">
        <v>1349</v>
      </c>
      <c r="B1410" s="1832">
        <f>'Expenditures 15-22'!D229</f>
        <v>186453</v>
      </c>
      <c r="C1410" s="2" t="s">
        <v>569</v>
      </c>
      <c r="D1410" s="2" t="str">
        <f t="shared" si="21"/>
        <v>Error?</v>
      </c>
    </row>
    <row r="1411" spans="1:4" x14ac:dyDescent="0.2">
      <c r="A1411" s="5">
        <v>1350</v>
      </c>
      <c r="B1411" s="1832">
        <f>'Expenditures 15-22'!D232</f>
        <v>5072</v>
      </c>
      <c r="D1411" s="2" t="str">
        <f t="shared" si="21"/>
        <v>Error?</v>
      </c>
    </row>
    <row r="1412" spans="1:4" x14ac:dyDescent="0.2">
      <c r="A1412" s="5">
        <v>1351</v>
      </c>
      <c r="B1412" s="1832">
        <f>'Expenditures 15-22'!D233</f>
        <v>9971</v>
      </c>
      <c r="D1412" s="2" t="str">
        <f t="shared" si="21"/>
        <v>Error?</v>
      </c>
    </row>
    <row r="1413" spans="1:4" x14ac:dyDescent="0.2">
      <c r="A1413" s="5">
        <v>1352</v>
      </c>
      <c r="B1413" s="1832">
        <f>'Expenditures 15-22'!D234</f>
        <v>3577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18620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7626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7626</v>
      </c>
      <c r="C1421" s="2" t="s">
        <v>569</v>
      </c>
      <c r="D1421" s="2" t="str">
        <f t="shared" si="21"/>
        <v>Error?</v>
      </c>
    </row>
    <row r="1422" spans="1:4" x14ac:dyDescent="0.2">
      <c r="A1422" s="5">
        <v>1361</v>
      </c>
      <c r="B1422" s="1832">
        <f>'Expenditures 15-22'!D245</f>
        <v>100000</v>
      </c>
      <c r="D1422" s="2" t="str">
        <f t="shared" si="21"/>
        <v>Error?</v>
      </c>
    </row>
    <row r="1423" spans="1:4" x14ac:dyDescent="0.2">
      <c r="A1423" s="5">
        <v>1362</v>
      </c>
      <c r="B1423" s="1832">
        <f>'Expenditures 15-22'!D246</f>
        <v>15132</v>
      </c>
      <c r="D1423" s="2" t="str">
        <f t="shared" si="21"/>
        <v>Error?</v>
      </c>
    </row>
    <row r="1424" spans="1:4" x14ac:dyDescent="0.2">
      <c r="A1424" s="5">
        <v>1363</v>
      </c>
      <c r="B1424" s="1832">
        <f>'Expenditures 15-22'!D257</f>
        <v>115132</v>
      </c>
      <c r="C1424" s="2" t="s">
        <v>569</v>
      </c>
      <c r="D1424" s="2" t="str">
        <f t="shared" si="21"/>
        <v>Error?</v>
      </c>
    </row>
    <row r="1425" spans="1:4" x14ac:dyDescent="0.2">
      <c r="A1425" s="5">
        <v>1364</v>
      </c>
      <c r="B1425" s="1832">
        <f>'Expenditures 15-22'!D259</f>
        <v>38823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38823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11676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88957</v>
      </c>
      <c r="D1431" s="2" t="str">
        <f t="shared" si="21"/>
        <v>Error?</v>
      </c>
    </row>
    <row r="1432" spans="1:4" x14ac:dyDescent="0.2">
      <c r="A1432" s="5">
        <v>1371</v>
      </c>
      <c r="B1432" s="1832">
        <f>'Expenditures 15-22'!D267</f>
        <v>88985</v>
      </c>
      <c r="D1432" s="2" t="str">
        <f t="shared" si="21"/>
        <v>Error?</v>
      </c>
    </row>
    <row r="1433" spans="1:4" x14ac:dyDescent="0.2">
      <c r="A1433" s="5">
        <v>1372</v>
      </c>
      <c r="B1433" s="1832">
        <f>'Expenditures 15-22'!D268</f>
        <v>47473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237091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417292</v>
      </c>
      <c r="C1446" s="2" t="s">
        <v>569</v>
      </c>
      <c r="D1446" s="2" t="str">
        <f t="shared" si="21"/>
        <v>Error?</v>
      </c>
    </row>
    <row r="1447" spans="1:4" x14ac:dyDescent="0.2">
      <c r="A1447" s="5">
        <v>1386</v>
      </c>
      <c r="B1447" s="1832">
        <f>'Expenditures 15-22'!D280</f>
        <v>18491</v>
      </c>
      <c r="D1447" s="2" t="str">
        <f t="shared" si="21"/>
        <v>Error?</v>
      </c>
    </row>
    <row r="1448" spans="1:4" x14ac:dyDescent="0.2">
      <c r="A1448" s="5">
        <v>1387</v>
      </c>
      <c r="B1448" s="1832">
        <f>'Expenditures 15-22'!D295</f>
        <v>622236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7815</v>
      </c>
      <c r="C1472" s="2" t="s">
        <v>569</v>
      </c>
      <c r="D1472" s="2" t="str">
        <f t="shared" si="22"/>
        <v>Error?</v>
      </c>
    </row>
    <row r="1473" spans="1:4" x14ac:dyDescent="0.2">
      <c r="A1473" s="5">
        <v>1412</v>
      </c>
      <c r="B1473" s="1832">
        <f>'Expenditures 15-22'!K224</f>
        <v>100</v>
      </c>
      <c r="C1473" s="2" t="s">
        <v>569</v>
      </c>
      <c r="D1473" s="2" t="str">
        <f t="shared" si="22"/>
        <v>Error?</v>
      </c>
    </row>
    <row r="1474" spans="1:4" x14ac:dyDescent="0.2">
      <c r="A1474" s="5">
        <v>1413</v>
      </c>
      <c r="B1474" s="1832">
        <f>'Expenditures 15-22'!K229</f>
        <v>186453</v>
      </c>
      <c r="C1474" s="2" t="s">
        <v>569</v>
      </c>
      <c r="D1474" s="2" t="str">
        <f t="shared" si="22"/>
        <v>Error?</v>
      </c>
    </row>
    <row r="1475" spans="1:4" x14ac:dyDescent="0.2">
      <c r="A1475" s="5">
        <v>1414</v>
      </c>
      <c r="B1475" s="1832">
        <f>'Expenditures 15-22'!K232</f>
        <v>5072</v>
      </c>
      <c r="C1475" s="2" t="s">
        <v>569</v>
      </c>
      <c r="D1475" s="2" t="str">
        <f t="shared" si="22"/>
        <v>Error?</v>
      </c>
    </row>
    <row r="1476" spans="1:4" x14ac:dyDescent="0.2">
      <c r="A1476" s="5">
        <v>1415</v>
      </c>
      <c r="B1476" s="1832">
        <f>'Expenditures 15-22'!K233</f>
        <v>9971</v>
      </c>
      <c r="C1476" s="2" t="s">
        <v>569</v>
      </c>
      <c r="D1476" s="2" t="str">
        <f t="shared" si="22"/>
        <v>Error?</v>
      </c>
    </row>
    <row r="1477" spans="1:4" x14ac:dyDescent="0.2">
      <c r="A1477" s="5">
        <v>1416</v>
      </c>
      <c r="B1477" s="1832">
        <f>'Expenditures 15-22'!K234</f>
        <v>3577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18620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7626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7626</v>
      </c>
      <c r="C1485" s="2" t="s">
        <v>569</v>
      </c>
      <c r="D1485" s="2" t="str">
        <f t="shared" si="22"/>
        <v>Error?</v>
      </c>
    </row>
    <row r="1486" spans="1:4" x14ac:dyDescent="0.2">
      <c r="A1486" s="5">
        <v>1425</v>
      </c>
      <c r="B1486" s="1832">
        <f>'Expenditures 15-22'!K245</f>
        <v>100000</v>
      </c>
      <c r="C1486" s="2" t="s">
        <v>569</v>
      </c>
      <c r="D1486" s="2" t="str">
        <f t="shared" si="22"/>
        <v>Error?</v>
      </c>
    </row>
    <row r="1487" spans="1:4" x14ac:dyDescent="0.2">
      <c r="A1487" s="5">
        <v>1426</v>
      </c>
      <c r="B1487" s="1832">
        <f>'Expenditures 15-22'!K246</f>
        <v>15132</v>
      </c>
      <c r="C1487" s="2" t="s">
        <v>569</v>
      </c>
      <c r="D1487" s="2" t="str">
        <f t="shared" si="22"/>
        <v>Error?</v>
      </c>
    </row>
    <row r="1488" spans="1:4" x14ac:dyDescent="0.2">
      <c r="A1488" s="5">
        <v>1427</v>
      </c>
      <c r="B1488" s="1832">
        <f>'Expenditures 15-22'!K257</f>
        <v>115132</v>
      </c>
      <c r="C1488" s="2" t="s">
        <v>569</v>
      </c>
      <c r="D1488" s="2" t="str">
        <f t="shared" si="22"/>
        <v>Error?</v>
      </c>
    </row>
    <row r="1489" spans="1:4" x14ac:dyDescent="0.2">
      <c r="A1489" s="5">
        <v>1428</v>
      </c>
      <c r="B1489" s="1832">
        <f>'Expenditures 15-22'!K259</f>
        <v>38823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38823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11676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88957</v>
      </c>
      <c r="C1495" s="2" t="s">
        <v>569</v>
      </c>
      <c r="D1495" s="2" t="str">
        <f t="shared" si="22"/>
        <v>Error?</v>
      </c>
    </row>
    <row r="1496" spans="1:4" x14ac:dyDescent="0.2">
      <c r="A1496" s="5">
        <v>1435</v>
      </c>
      <c r="B1496" s="1832">
        <f>'Expenditures 15-22'!K267</f>
        <v>88985</v>
      </c>
      <c r="C1496" s="2" t="s">
        <v>569</v>
      </c>
      <c r="D1496" s="2" t="str">
        <f t="shared" si="22"/>
        <v>Error?</v>
      </c>
    </row>
    <row r="1497" spans="1:4" x14ac:dyDescent="0.2">
      <c r="A1497" s="5">
        <v>1436</v>
      </c>
      <c r="B1497" s="1832">
        <f>'Expenditures 15-22'!K268</f>
        <v>47473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237091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417292</v>
      </c>
      <c r="C1510" s="2" t="s">
        <v>569</v>
      </c>
      <c r="D1510" s="2" t="str">
        <f t="shared" si="22"/>
        <v>Error?</v>
      </c>
    </row>
    <row r="1511" spans="1:4" x14ac:dyDescent="0.2">
      <c r="A1511" s="5">
        <v>1450</v>
      </c>
      <c r="B1511" s="1832">
        <f>'Expenditures 15-22'!K280</f>
        <v>18491</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622236</v>
      </c>
      <c r="C1517" s="2" t="s">
        <v>569</v>
      </c>
      <c r="D1517" s="2" t="str">
        <f t="shared" si="22"/>
        <v>Error?</v>
      </c>
    </row>
    <row r="1518" spans="1:4" x14ac:dyDescent="0.2">
      <c r="A1518" s="5">
        <v>1457</v>
      </c>
      <c r="B1518" s="1832">
        <f>'Expenditures 15-22'!K296</f>
        <v>16738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545538</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545538</v>
      </c>
      <c r="C1535" s="2" t="s">
        <v>569</v>
      </c>
      <c r="D1535" s="2" t="str">
        <f t="shared" ref="D1535:D1598" si="23">IF(ISBLANK(B1535),"OK",IF(A1535-B1535=0,"OK","Error?"))</f>
        <v>Error?</v>
      </c>
    </row>
    <row r="1536" spans="1:4" x14ac:dyDescent="0.2">
      <c r="A1536" s="5">
        <v>1475</v>
      </c>
      <c r="B1536" s="1832">
        <f>'Expenditures 15-22'!E312</f>
        <v>545538</v>
      </c>
      <c r="C1536" s="2" t="s">
        <v>569</v>
      </c>
      <c r="D1536" s="2" t="str">
        <f t="shared" si="23"/>
        <v>Error?</v>
      </c>
    </row>
    <row r="1537" spans="1:4" x14ac:dyDescent="0.2">
      <c r="A1537" s="5">
        <v>1476</v>
      </c>
      <c r="B1537" s="1832">
        <f>'Expenditures 15-22'!F301</f>
        <v>9934</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9934</v>
      </c>
      <c r="C1541" s="2" t="s">
        <v>569</v>
      </c>
      <c r="D1541" s="2" t="str">
        <f t="shared" si="23"/>
        <v>Error?</v>
      </c>
    </row>
    <row r="1542" spans="1:4" x14ac:dyDescent="0.2">
      <c r="A1542" s="5">
        <v>1481</v>
      </c>
      <c r="B1542" s="1832">
        <f>'Expenditures 15-22'!F312</f>
        <v>9934</v>
      </c>
      <c r="C1542" s="2" t="s">
        <v>569</v>
      </c>
      <c r="D1542" s="2" t="str">
        <f t="shared" si="23"/>
        <v>Error?</v>
      </c>
    </row>
    <row r="1543" spans="1:4" x14ac:dyDescent="0.2">
      <c r="A1543" s="5">
        <v>1482</v>
      </c>
      <c r="B1543" s="1832">
        <f>'Expenditures 15-22'!G301</f>
        <v>22936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22936</v>
      </c>
      <c r="C1547" s="2" t="s">
        <v>569</v>
      </c>
      <c r="D1547" s="2" t="str">
        <f t="shared" si="23"/>
        <v>Error?</v>
      </c>
    </row>
    <row r="1548" spans="1:4" x14ac:dyDescent="0.2">
      <c r="A1548" s="5">
        <v>1487</v>
      </c>
      <c r="B1548" s="1832">
        <f>'Expenditures 15-22'!G312</f>
        <v>22936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578408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578408</v>
      </c>
      <c r="C1559" s="2" t="s">
        <v>569</v>
      </c>
      <c r="D1559" s="2" t="str">
        <f t="shared" si="23"/>
        <v>Error?</v>
      </c>
    </row>
    <row r="1560" spans="1:4" x14ac:dyDescent="0.2">
      <c r="A1560" s="5">
        <v>1499</v>
      </c>
      <c r="B1560" s="1832">
        <f>'Expenditures 15-22'!K312</f>
        <v>578408</v>
      </c>
      <c r="C1560" s="2" t="s">
        <v>569</v>
      </c>
      <c r="D1560" s="2" t="str">
        <f t="shared" si="23"/>
        <v>Error?</v>
      </c>
    </row>
    <row r="1561" spans="1:4" x14ac:dyDescent="0.2">
      <c r="A1561" s="5">
        <v>1500</v>
      </c>
      <c r="B1561" s="1832">
        <f>'Expenditures 15-22'!K313</f>
        <v>-439637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3455262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3583991</v>
      </c>
      <c r="C1630" s="2" t="s">
        <v>569</v>
      </c>
      <c r="D1630" s="2" t="str">
        <f t="shared" si="24"/>
        <v>Error?</v>
      </c>
    </row>
    <row r="1631" spans="1:4" x14ac:dyDescent="0.2">
      <c r="A1631" s="5">
        <v>1570</v>
      </c>
      <c r="B1631" s="1832">
        <f>'Acct Summary 7-8'!D79</f>
        <v>842314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845015</v>
      </c>
      <c r="C1644" s="2" t="s">
        <v>569</v>
      </c>
      <c r="D1644" s="2" t="str">
        <f t="shared" si="24"/>
        <v>Error?</v>
      </c>
    </row>
    <row r="1645" spans="1:4" x14ac:dyDescent="0.2">
      <c r="A1645" s="5">
        <v>1584</v>
      </c>
      <c r="B1645" s="1832">
        <f>'Acct Summary 7-8'!E79</f>
        <v>516988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517039</v>
      </c>
      <c r="C1658" s="2" t="s">
        <v>569</v>
      </c>
      <c r="D1658" s="2" t="str">
        <f t="shared" si="24"/>
        <v>Error?</v>
      </c>
    </row>
    <row r="1659" spans="1:4" x14ac:dyDescent="0.2">
      <c r="A1659" s="5">
        <v>1598</v>
      </c>
      <c r="B1659" s="1832">
        <f>'Acct Summary 7-8'!F79</f>
        <v>611863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613315</v>
      </c>
      <c r="C1672" s="2" t="s">
        <v>569</v>
      </c>
      <c r="D1672" s="2" t="str">
        <f t="shared" si="25"/>
        <v>Error?</v>
      </c>
    </row>
    <row r="1673" spans="1:4" x14ac:dyDescent="0.2">
      <c r="A1673" s="5">
        <v>1612</v>
      </c>
      <c r="B1673" s="1832">
        <f>'Acct Summary 7-8'!G79</f>
        <v>359924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376662</v>
      </c>
      <c r="C1686" s="2" t="s">
        <v>569</v>
      </c>
      <c r="D1686" s="2" t="str">
        <f t="shared" si="25"/>
        <v>Error?</v>
      </c>
    </row>
    <row r="1687" spans="1:4" x14ac:dyDescent="0.2">
      <c r="A1687" s="5">
        <v>1626</v>
      </c>
      <c r="B1687" s="1832">
        <f>'Acct Summary 7-8'!H79</f>
        <v>1240947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1101310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6864921</v>
      </c>
      <c r="C1744" s="2" t="s">
        <v>569</v>
      </c>
      <c r="D1744" s="2" t="str">
        <f t="shared" si="26"/>
        <v>Error?</v>
      </c>
    </row>
    <row r="1745" spans="1:5" x14ac:dyDescent="0.2">
      <c r="A1745" s="5">
        <v>1684</v>
      </c>
      <c r="B1745" s="1832">
        <f>'Tax Sched 23'!B5</f>
        <v>1412535</v>
      </c>
      <c r="C1745" s="2" t="s">
        <v>569</v>
      </c>
      <c r="D1745" s="2" t="str">
        <f t="shared" si="26"/>
        <v>Error?</v>
      </c>
    </row>
    <row r="1746" spans="1:5" x14ac:dyDescent="0.2">
      <c r="A1746" s="5">
        <v>1685</v>
      </c>
      <c r="B1746" s="1832">
        <f>'Tax Sched 23'!B6</f>
        <v>567419</v>
      </c>
      <c r="C1746" s="2" t="s">
        <v>569</v>
      </c>
      <c r="D1746" s="2" t="str">
        <f t="shared" si="26"/>
        <v>Error?</v>
      </c>
    </row>
    <row r="1747" spans="1:5" x14ac:dyDescent="0.2">
      <c r="A1747" s="5">
        <v>1686</v>
      </c>
      <c r="B1747" s="1832">
        <f>'Tax Sched 23'!B7</f>
        <v>565014</v>
      </c>
      <c r="C1747" s="2" t="s">
        <v>569</v>
      </c>
      <c r="D1747" s="2" t="str">
        <f t="shared" si="26"/>
        <v>Error?</v>
      </c>
    </row>
    <row r="1748" spans="1:5" x14ac:dyDescent="0.2">
      <c r="A1748" s="5">
        <v>1687</v>
      </c>
      <c r="B1748" s="1832">
        <f>'Tax Sched 23'!B8</f>
        <v>309656</v>
      </c>
      <c r="C1748" s="2" t="s">
        <v>569</v>
      </c>
      <c r="D1748" s="2" t="str">
        <f t="shared" si="26"/>
        <v>Error?</v>
      </c>
    </row>
    <row r="1749" spans="1:5" x14ac:dyDescent="0.2">
      <c r="A1749" s="5">
        <v>1688</v>
      </c>
      <c r="B1749" s="1832">
        <f>'Tax Sched 23'!B10</f>
        <v>141253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649285</v>
      </c>
      <c r="C1752" s="2" t="s">
        <v>569</v>
      </c>
      <c r="D1752" s="2" t="str">
        <f t="shared" si="26"/>
        <v>Error?</v>
      </c>
    </row>
    <row r="1753" spans="1:5" x14ac:dyDescent="0.2">
      <c r="A1753" s="5">
        <v>1692</v>
      </c>
      <c r="B1753" s="1832">
        <f>'Tax Sched 23'!B12</f>
        <v>141253</v>
      </c>
      <c r="C1753" s="2" t="s">
        <v>569</v>
      </c>
      <c r="D1753" s="2" t="str">
        <f t="shared" si="26"/>
        <v>Error?</v>
      </c>
    </row>
    <row r="1754" spans="1:5" x14ac:dyDescent="0.2">
      <c r="A1754" s="5">
        <v>1693</v>
      </c>
      <c r="B1754" s="1832">
        <f>'Tax Sched 23'!B14</f>
        <v>113003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11215248</v>
      </c>
      <c r="C1759" s="2" t="s">
        <v>569</v>
      </c>
      <c r="D1759" s="2" t="str">
        <f t="shared" si="26"/>
        <v>Error?</v>
      </c>
    </row>
    <row r="1760" spans="1:5" x14ac:dyDescent="0.2">
      <c r="A1760" s="5">
        <v>1699</v>
      </c>
      <c r="B1760" s="1832">
        <f>'Tax Sched 23'!D4</f>
        <v>6864921</v>
      </c>
      <c r="C1760" s="2" t="s">
        <v>569</v>
      </c>
      <c r="D1760" s="2" t="str">
        <f t="shared" si="26"/>
        <v>Error?</v>
      </c>
    </row>
    <row r="1761" spans="1:7" x14ac:dyDescent="0.2">
      <c r="A1761" s="5">
        <v>1700</v>
      </c>
      <c r="B1761" s="1832">
        <f>'Tax Sched 23'!D5</f>
        <v>1412535</v>
      </c>
      <c r="C1761" s="2" t="s">
        <v>569</v>
      </c>
      <c r="D1761" s="2" t="str">
        <f t="shared" si="26"/>
        <v>Error?</v>
      </c>
    </row>
    <row r="1762" spans="1:7" s="8" customFormat="1" x14ac:dyDescent="0.2">
      <c r="A1762" s="5">
        <v>1701</v>
      </c>
      <c r="B1762" s="1832">
        <f>'Tax Sched 23'!D6</f>
        <v>567419</v>
      </c>
      <c r="C1762" s="2" t="s">
        <v>569</v>
      </c>
      <c r="D1762" s="2" t="str">
        <f t="shared" si="26"/>
        <v>Error?</v>
      </c>
      <c r="E1762" s="9"/>
      <c r="G1762"/>
    </row>
    <row r="1763" spans="1:7" x14ac:dyDescent="0.2">
      <c r="A1763" s="5">
        <v>1702</v>
      </c>
      <c r="B1763" s="1832">
        <f>'Tax Sched 23'!D7</f>
        <v>565014</v>
      </c>
      <c r="C1763" s="2" t="s">
        <v>569</v>
      </c>
      <c r="D1763" s="2" t="str">
        <f t="shared" si="26"/>
        <v>Error?</v>
      </c>
    </row>
    <row r="1764" spans="1:7" x14ac:dyDescent="0.2">
      <c r="A1764" s="5">
        <v>1703</v>
      </c>
      <c r="B1764" s="1832">
        <f>'Tax Sched 23'!D8</f>
        <v>309656</v>
      </c>
      <c r="C1764" s="2" t="s">
        <v>569</v>
      </c>
      <c r="D1764" s="2" t="str">
        <f t="shared" si="26"/>
        <v>Error?</v>
      </c>
    </row>
    <row r="1765" spans="1:7" x14ac:dyDescent="0.2">
      <c r="A1765" s="5">
        <v>1704</v>
      </c>
      <c r="B1765" s="1832">
        <f>'Tax Sched 23'!D10</f>
        <v>141253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649285</v>
      </c>
      <c r="C1768" s="2" t="s">
        <v>569</v>
      </c>
      <c r="D1768" s="2" t="str">
        <f t="shared" si="26"/>
        <v>Error?</v>
      </c>
    </row>
    <row r="1769" spans="1:7" x14ac:dyDescent="0.2">
      <c r="A1769" s="5">
        <v>1708</v>
      </c>
      <c r="B1769" s="1832">
        <f>'Tax Sched 23'!D12</f>
        <v>141253</v>
      </c>
      <c r="C1769" s="2" t="s">
        <v>569</v>
      </c>
      <c r="D1769" s="2" t="str">
        <f t="shared" si="26"/>
        <v>Error?</v>
      </c>
    </row>
    <row r="1770" spans="1:7" x14ac:dyDescent="0.2">
      <c r="A1770" s="5">
        <v>1709</v>
      </c>
      <c r="B1770" s="1832">
        <f>'Tax Sched 23'!D14</f>
        <v>113003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11215248</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6990984</v>
      </c>
      <c r="C1792" s="2" t="s">
        <v>569</v>
      </c>
      <c r="D1792" s="2" t="str">
        <f t="shared" si="27"/>
        <v>Error?</v>
      </c>
    </row>
    <row r="1793" spans="1:4" x14ac:dyDescent="0.2">
      <c r="A1793" s="5">
        <v>1732</v>
      </c>
      <c r="B1793" s="1832">
        <f>'Tax Sched 23'!F5</f>
        <v>1438476</v>
      </c>
      <c r="C1793" s="2" t="s">
        <v>569</v>
      </c>
      <c r="D1793" s="2" t="str">
        <f t="shared" si="27"/>
        <v>Error?</v>
      </c>
    </row>
    <row r="1794" spans="1:4" x14ac:dyDescent="0.2">
      <c r="A1794" s="5">
        <v>1733</v>
      </c>
      <c r="B1794" s="1832">
        <f>'Tax Sched 23'!F6</f>
        <v>611854</v>
      </c>
      <c r="C1794" s="2" t="s">
        <v>569</v>
      </c>
      <c r="D1794" s="2" t="str">
        <f t="shared" si="27"/>
        <v>Error?</v>
      </c>
    </row>
    <row r="1795" spans="1:4" x14ac:dyDescent="0.2">
      <c r="A1795" s="5">
        <v>1734</v>
      </c>
      <c r="B1795" s="1832">
        <f>'Tax Sched 23'!F7</f>
        <v>575390</v>
      </c>
      <c r="C1795" s="2" t="s">
        <v>569</v>
      </c>
      <c r="D1795" s="2" t="str">
        <f t="shared" si="27"/>
        <v>Error?</v>
      </c>
    </row>
    <row r="1796" spans="1:4" x14ac:dyDescent="0.2">
      <c r="A1796" s="5">
        <v>1735</v>
      </c>
      <c r="B1796" s="1832">
        <f>'Tax Sched 23'!F8</f>
        <v>311862</v>
      </c>
      <c r="C1796" s="2" t="s">
        <v>569</v>
      </c>
      <c r="D1796" s="2" t="str">
        <f t="shared" si="27"/>
        <v>Error?</v>
      </c>
    </row>
    <row r="1797" spans="1:4" x14ac:dyDescent="0.2">
      <c r="A1797" s="5">
        <v>1736</v>
      </c>
      <c r="B1797" s="1832">
        <f>'Tax Sched 23'!F10</f>
        <v>143848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643516</v>
      </c>
      <c r="C1800" s="2" t="s">
        <v>569</v>
      </c>
      <c r="D1800" s="2" t="str">
        <f t="shared" si="27"/>
        <v>Error?</v>
      </c>
    </row>
    <row r="1801" spans="1:4" x14ac:dyDescent="0.2">
      <c r="A1801" s="5">
        <v>1740</v>
      </c>
      <c r="B1801" s="1832">
        <f>'Tax Sched 23'!F12</f>
        <v>143848</v>
      </c>
      <c r="C1801" s="2" t="s">
        <v>569</v>
      </c>
      <c r="D1801" s="2" t="str">
        <f t="shared" si="27"/>
        <v>Error?</v>
      </c>
    </row>
    <row r="1802" spans="1:4" x14ac:dyDescent="0.2">
      <c r="A1802" s="5">
        <v>1741</v>
      </c>
      <c r="B1802" s="1832">
        <f>'Tax Sched 23'!F14</f>
        <v>115079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11430567</v>
      </c>
      <c r="C1807" s="2" t="s">
        <v>569</v>
      </c>
      <c r="D1807" s="2" t="str">
        <f t="shared" si="27"/>
        <v>Error?</v>
      </c>
    </row>
    <row r="1808" spans="1:4" x14ac:dyDescent="0.2">
      <c r="A1808" s="5">
        <v>1747</v>
      </c>
      <c r="B1808" s="1832">
        <f>'Tax Sched 23'!E4</f>
        <v>6990984</v>
      </c>
      <c r="D1808" s="2" t="str">
        <f t="shared" si="27"/>
        <v>Error?</v>
      </c>
    </row>
    <row r="1809" spans="1:4" x14ac:dyDescent="0.2">
      <c r="A1809" s="5">
        <v>1748</v>
      </c>
      <c r="B1809" s="1832">
        <f>'Tax Sched 23'!E5</f>
        <v>1438476</v>
      </c>
      <c r="D1809" s="2" t="str">
        <f t="shared" si="27"/>
        <v>Error?</v>
      </c>
    </row>
    <row r="1810" spans="1:4" x14ac:dyDescent="0.2">
      <c r="A1810" s="5">
        <v>1749</v>
      </c>
      <c r="B1810" s="1832">
        <f>'Tax Sched 23'!E6</f>
        <v>611854</v>
      </c>
      <c r="D1810" s="2" t="str">
        <f t="shared" si="27"/>
        <v>Error?</v>
      </c>
    </row>
    <row r="1811" spans="1:4" x14ac:dyDescent="0.2">
      <c r="A1811" s="5">
        <v>1750</v>
      </c>
      <c r="B1811" s="1832">
        <f>'Tax Sched 23'!E7</f>
        <v>575390</v>
      </c>
      <c r="D1811" s="2" t="str">
        <f t="shared" si="27"/>
        <v>Error?</v>
      </c>
    </row>
    <row r="1812" spans="1:4" x14ac:dyDescent="0.2">
      <c r="A1812" s="5">
        <v>1751</v>
      </c>
      <c r="B1812" s="1832">
        <f>'Tax Sched 23'!E8</f>
        <v>311862</v>
      </c>
      <c r="D1812" s="2" t="str">
        <f t="shared" si="27"/>
        <v>Error?</v>
      </c>
    </row>
    <row r="1813" spans="1:4" x14ac:dyDescent="0.2">
      <c r="A1813" s="5">
        <v>1752</v>
      </c>
      <c r="B1813" s="1832">
        <f>'Tax Sched 23'!E10</f>
        <v>143848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643516</v>
      </c>
      <c r="D1816" s="2" t="str">
        <f t="shared" si="27"/>
        <v>Error?</v>
      </c>
    </row>
    <row r="1817" spans="1:4" x14ac:dyDescent="0.2">
      <c r="A1817" s="5">
        <v>1756</v>
      </c>
      <c r="B1817" s="1832">
        <f>'Tax Sched 23'!E12</f>
        <v>143848</v>
      </c>
      <c r="D1817" s="2" t="str">
        <f t="shared" si="27"/>
        <v>Error?</v>
      </c>
    </row>
    <row r="1818" spans="1:4" x14ac:dyDescent="0.2">
      <c r="A1818" s="5">
        <v>1757</v>
      </c>
      <c r="B1818" s="1832">
        <f>'Tax Sched 23'!E14</f>
        <v>115079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11430567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27425000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113003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113003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113003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411741</v>
      </c>
      <c r="D2008" s="2" t="str">
        <f t="shared" si="30"/>
        <v>Error?</v>
      </c>
    </row>
    <row r="2009" spans="1:4" x14ac:dyDescent="0.2">
      <c r="A2009" s="5">
        <v>1948</v>
      </c>
      <c r="B2009" s="1832">
        <f>'Cap Outlay Deprec 26'!C8</f>
        <v>49840152</v>
      </c>
      <c r="D2009" s="2" t="str">
        <f t="shared" si="30"/>
        <v>Error?</v>
      </c>
    </row>
    <row r="2010" spans="1:4" x14ac:dyDescent="0.2">
      <c r="A2010" s="5">
        <v>1949</v>
      </c>
      <c r="B2010" s="1832">
        <f>'Cap Outlay Deprec 26'!C10</f>
        <v>2427918</v>
      </c>
      <c r="D2010" s="2" t="str">
        <f t="shared" si="30"/>
        <v>Error?</v>
      </c>
    </row>
    <row r="2011" spans="1:4" x14ac:dyDescent="0.2">
      <c r="A2011" s="5">
        <v>1950</v>
      </c>
      <c r="B2011" s="1832">
        <f>'Cap Outlay Deprec 26'!C12</f>
        <v>6066084</v>
      </c>
      <c r="D2011" s="2" t="str">
        <f t="shared" si="30"/>
        <v>Error?</v>
      </c>
    </row>
    <row r="2012" spans="1:4" x14ac:dyDescent="0.2">
      <c r="A2012" s="5">
        <v>1951</v>
      </c>
      <c r="B2012" s="1832">
        <f>'Cap Outlay Deprec 26'!C13</f>
        <v>234040</v>
      </c>
      <c r="D2012" s="2" t="str">
        <f t="shared" si="30"/>
        <v>Error?</v>
      </c>
    </row>
    <row r="2013" spans="1:4" x14ac:dyDescent="0.2">
      <c r="A2013" s="5">
        <v>1952</v>
      </c>
      <c r="B2013" s="1832">
        <f>'Cap Outlay Deprec 26'!C16</f>
        <v>58979935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79230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96865</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176095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150307</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150307</v>
      </c>
      <c r="C2025" s="2" t="s">
        <v>569</v>
      </c>
      <c r="D2025" s="2" t="str">
        <f t="shared" si="30"/>
        <v>Error?</v>
      </c>
    </row>
    <row r="2026" spans="1:4" x14ac:dyDescent="0.2">
      <c r="A2026" s="5">
        <v>1965</v>
      </c>
      <c r="B2026" s="1832">
        <f>'Cap Outlay Deprec 26'!F5</f>
        <v>411741</v>
      </c>
      <c r="C2026" s="2" t="s">
        <v>569</v>
      </c>
      <c r="D2026" s="2" t="str">
        <f t="shared" si="30"/>
        <v>Error?</v>
      </c>
    </row>
    <row r="2027" spans="1:4" x14ac:dyDescent="0.2">
      <c r="A2027" s="5">
        <v>1966</v>
      </c>
      <c r="B2027" s="1832">
        <f>'Cap Outlay Deprec 26'!F8</f>
        <v>49919382</v>
      </c>
      <c r="C2027" s="2" t="s">
        <v>569</v>
      </c>
      <c r="D2027" s="2" t="str">
        <f t="shared" si="30"/>
        <v>Error?</v>
      </c>
    </row>
    <row r="2028" spans="1:4" x14ac:dyDescent="0.2">
      <c r="A2028" s="5">
        <v>1967</v>
      </c>
      <c r="B2028" s="1832">
        <f>'Cap Outlay Deprec 26'!F10</f>
        <v>2427918</v>
      </c>
      <c r="C2028" s="2" t="s">
        <v>569</v>
      </c>
      <c r="D2028" s="2" t="str">
        <f t="shared" si="30"/>
        <v>Error?</v>
      </c>
    </row>
    <row r="2029" spans="1:4" x14ac:dyDescent="0.2">
      <c r="A2029" s="5">
        <v>1968</v>
      </c>
      <c r="B2029" s="1832">
        <f>'Cap Outlay Deprec 26'!F12</f>
        <v>6012642</v>
      </c>
      <c r="C2029" s="2" t="s">
        <v>569</v>
      </c>
      <c r="D2029" s="2" t="str">
        <f t="shared" si="30"/>
        <v>Error?</v>
      </c>
    </row>
    <row r="2030" spans="1:4" x14ac:dyDescent="0.2">
      <c r="A2030" s="5">
        <v>1969</v>
      </c>
      <c r="B2030" s="1832">
        <f>'Cap Outlay Deprec 26'!F13</f>
        <v>234040</v>
      </c>
      <c r="C2030" s="2" t="s">
        <v>569</v>
      </c>
      <c r="D2030" s="2" t="str">
        <f t="shared" si="30"/>
        <v>Error?</v>
      </c>
    </row>
    <row r="2031" spans="1:4" x14ac:dyDescent="0.2">
      <c r="A2031" s="5">
        <v>1970</v>
      </c>
      <c r="B2031" s="1832">
        <f>'Cap Outlay Deprec 26'!F16</f>
        <v>59005723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15140084</v>
      </c>
      <c r="D2033" s="2" t="str">
        <f t="shared" si="30"/>
        <v>Error?</v>
      </c>
    </row>
    <row r="2034" spans="1:4" x14ac:dyDescent="0.2">
      <c r="A2034" s="5">
        <v>1973</v>
      </c>
      <c r="B2034" s="1832">
        <f>'Cap Outlay Deprec 26'!H10</f>
        <v>1203678</v>
      </c>
      <c r="D2034" s="2" t="str">
        <f t="shared" si="30"/>
        <v>Error?</v>
      </c>
    </row>
    <row r="2035" spans="1:4" x14ac:dyDescent="0.2">
      <c r="A2035" s="5">
        <v>1974</v>
      </c>
      <c r="B2035" s="1832">
        <f>'Cap Outlay Deprec 26'!H12</f>
        <v>5422485</v>
      </c>
      <c r="D2035" s="2" t="str">
        <f t="shared" si="30"/>
        <v>Error?</v>
      </c>
    </row>
    <row r="2036" spans="1:4" x14ac:dyDescent="0.2">
      <c r="A2036" s="5">
        <v>1975</v>
      </c>
      <c r="B2036" s="1832">
        <f>'Cap Outlay Deprec 26'!H13</f>
        <v>234040</v>
      </c>
      <c r="D2036" s="2" t="str">
        <f t="shared" si="30"/>
        <v>Error?</v>
      </c>
    </row>
    <row r="2037" spans="1:4" x14ac:dyDescent="0.2">
      <c r="A2037" s="5">
        <v>1976</v>
      </c>
      <c r="B2037" s="1832">
        <f>'Cap Outlay Deprec 26'!H16</f>
        <v>22000287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1045303</v>
      </c>
      <c r="D2039" s="2" t="str">
        <f t="shared" si="30"/>
        <v>Error?</v>
      </c>
    </row>
    <row r="2040" spans="1:4" x14ac:dyDescent="0.2">
      <c r="A2040" s="5">
        <v>1979</v>
      </c>
      <c r="B2040" s="1832">
        <f>'Cap Outlay Deprec 26'!I10</f>
        <v>170421</v>
      </c>
      <c r="D2040" s="2" t="str">
        <f t="shared" si="30"/>
        <v>Error?</v>
      </c>
    </row>
    <row r="2041" spans="1:4" x14ac:dyDescent="0.2">
      <c r="A2041" s="5">
        <v>1980</v>
      </c>
      <c r="B2041" s="1832">
        <f>'Cap Outlay Deprec 26'!I12</f>
        <v>98114</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1313838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8665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8665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16185387</v>
      </c>
      <c r="C2051" s="2" t="s">
        <v>569</v>
      </c>
      <c r="D2051" s="2" t="str">
        <f t="shared" si="31"/>
        <v>Error?</v>
      </c>
    </row>
    <row r="2052" spans="1:4" x14ac:dyDescent="0.2">
      <c r="A2052" s="5">
        <v>1991</v>
      </c>
      <c r="B2052" s="1832">
        <f>'Cap Outlay Deprec 26'!K10</f>
        <v>1374099</v>
      </c>
      <c r="C2052" s="2" t="s">
        <v>569</v>
      </c>
      <c r="D2052" s="2" t="str">
        <f t="shared" si="31"/>
        <v>Error?</v>
      </c>
    </row>
    <row r="2053" spans="1:4" x14ac:dyDescent="0.2">
      <c r="A2053" s="5">
        <v>1992</v>
      </c>
      <c r="B2053" s="1832">
        <f>'Cap Outlay Deprec 26'!K12</f>
        <v>5511934</v>
      </c>
      <c r="C2053" s="2" t="s">
        <v>569</v>
      </c>
      <c r="D2053" s="2" t="str">
        <f t="shared" si="31"/>
        <v>Error?</v>
      </c>
    </row>
    <row r="2054" spans="1:4" x14ac:dyDescent="0.2">
      <c r="A2054" s="5">
        <v>1993</v>
      </c>
      <c r="B2054" s="1832">
        <f>'Cap Outlay Deprec 26'!K13</f>
        <v>234040</v>
      </c>
      <c r="C2054" s="2" t="s">
        <v>569</v>
      </c>
      <c r="D2054" s="2" t="str">
        <f t="shared" si="31"/>
        <v>Error?</v>
      </c>
    </row>
    <row r="2055" spans="1:4" x14ac:dyDescent="0.2">
      <c r="A2055" s="5">
        <v>1994</v>
      </c>
      <c r="B2055" s="1832">
        <f>'Cap Outlay Deprec 26'!K16</f>
        <v>23305460</v>
      </c>
      <c r="C2055" s="2" t="s">
        <v>569</v>
      </c>
      <c r="D2055" s="2" t="str">
        <f t="shared" si="31"/>
        <v>Error?</v>
      </c>
    </row>
    <row r="2056" spans="1:4" x14ac:dyDescent="0.2">
      <c r="A2056" s="5">
        <v>1995</v>
      </c>
      <c r="B2056" s="1832">
        <f>'Cap Outlay Deprec 26'!L5</f>
        <v>411741</v>
      </c>
      <c r="C2056" s="2" t="s">
        <v>569</v>
      </c>
      <c r="D2056" s="2" t="str">
        <f t="shared" si="31"/>
        <v>Error?</v>
      </c>
    </row>
    <row r="2057" spans="1:4" x14ac:dyDescent="0.2">
      <c r="A2057" s="5">
        <v>1996</v>
      </c>
      <c r="B2057" s="1832">
        <f>'Cap Outlay Deprec 26'!L8</f>
        <v>33733995</v>
      </c>
      <c r="C2057" s="2" t="s">
        <v>569</v>
      </c>
      <c r="D2057" s="2" t="str">
        <f t="shared" si="31"/>
        <v>Error?</v>
      </c>
    </row>
    <row r="2058" spans="1:4" x14ac:dyDescent="0.2">
      <c r="A2058" s="5">
        <v>1997</v>
      </c>
      <c r="B2058" s="1832">
        <f>'Cap Outlay Deprec 26'!L10</f>
        <v>1053819</v>
      </c>
      <c r="C2058" s="2" t="s">
        <v>569</v>
      </c>
      <c r="D2058" s="2" t="str">
        <f t="shared" si="31"/>
        <v>Error?</v>
      </c>
    </row>
    <row r="2059" spans="1:4" x14ac:dyDescent="0.2">
      <c r="A2059" s="5">
        <v>1998</v>
      </c>
      <c r="B2059" s="1832">
        <f>'Cap Outlay Deprec 26'!L12</f>
        <v>500708</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35700263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1376788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1376788</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69347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8620742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7783923</v>
      </c>
      <c r="C2553" s="2" t="s">
        <v>569</v>
      </c>
      <c r="D2553" s="2" t="str">
        <f t="shared" si="38"/>
        <v>Error?</v>
      </c>
    </row>
    <row r="2554" spans="1:4" x14ac:dyDescent="0.2">
      <c r="A2554" s="5">
        <v>2493</v>
      </c>
      <c r="B2554" s="1832">
        <f>'Acct Summary 7-8'!C7</f>
        <v>1161023</v>
      </c>
      <c r="C2554" s="2" t="s">
        <v>569</v>
      </c>
      <c r="D2554" s="2" t="str">
        <f t="shared" si="38"/>
        <v>Error?</v>
      </c>
    </row>
    <row r="2555" spans="1:4" x14ac:dyDescent="0.2">
      <c r="A2555" s="5">
        <v>2494</v>
      </c>
      <c r="B2555" s="1832">
        <f>'Acct Summary 7-8'!C8</f>
        <v>17565688</v>
      </c>
      <c r="C2555" s="2" t="s">
        <v>569</v>
      </c>
      <c r="D2555" s="2" t="str">
        <f t="shared" si="38"/>
        <v>Error?</v>
      </c>
    </row>
    <row r="2556" spans="1:4" x14ac:dyDescent="0.2">
      <c r="A2556" s="5">
        <v>2495</v>
      </c>
      <c r="B2556" s="1832">
        <f>'Acct Summary 7-8'!C12</f>
        <v>12080546</v>
      </c>
      <c r="C2556" s="2" t="s">
        <v>569</v>
      </c>
      <c r="D2556" s="2" t="str">
        <f t="shared" si="38"/>
        <v>Error?</v>
      </c>
    </row>
    <row r="2557" spans="1:4" x14ac:dyDescent="0.2">
      <c r="A2557" s="5">
        <v>2496</v>
      </c>
      <c r="B2557" s="1832">
        <f>'Acct Summary 7-8'!C13</f>
        <v>3808112</v>
      </c>
      <c r="C2557" s="2" t="s">
        <v>569</v>
      </c>
      <c r="D2557" s="2" t="str">
        <f t="shared" si="38"/>
        <v>Error?</v>
      </c>
    </row>
    <row r="2558" spans="1:4" x14ac:dyDescent="0.2">
      <c r="A2558" s="5">
        <v>2497</v>
      </c>
      <c r="B2558" s="1832">
        <f>'Acct Summary 7-8'!C14</f>
        <v>171513</v>
      </c>
      <c r="C2558" s="2" t="s">
        <v>569</v>
      </c>
      <c r="D2558" s="2" t="str">
        <f t="shared" si="38"/>
        <v>Error?</v>
      </c>
    </row>
    <row r="2559" spans="1:4" x14ac:dyDescent="0.2">
      <c r="A2559" s="5">
        <v>2498</v>
      </c>
      <c r="B2559" s="1832">
        <f>'Acct Summary 7-8'!C15</f>
        <v>1376788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17436959</v>
      </c>
      <c r="C2561" s="2" t="s">
        <v>569</v>
      </c>
      <c r="D2561" s="2" t="str">
        <f t="shared" si="39"/>
        <v>Error?</v>
      </c>
    </row>
    <row r="2562" spans="1:4" x14ac:dyDescent="0.2">
      <c r="A2562" s="5">
        <v>2501</v>
      </c>
      <c r="B2562" s="1832">
        <f>'Acct Summary 7-8'!C20</f>
        <v>128729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1449061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1449061</v>
      </c>
      <c r="C2568" s="2" t="s">
        <v>569</v>
      </c>
      <c r="D2568" s="2" t="str">
        <f t="shared" si="39"/>
        <v>Error?</v>
      </c>
    </row>
    <row r="2569" spans="1:4" x14ac:dyDescent="0.2">
      <c r="A2569" s="5">
        <v>2508</v>
      </c>
      <c r="B2569" s="1832">
        <f>'Acct Summary 7-8'!D13</f>
        <v>1446360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1446360</v>
      </c>
      <c r="C2573" s="2" t="s">
        <v>569</v>
      </c>
      <c r="D2573" s="2" t="str">
        <f t="shared" si="39"/>
        <v>Error?</v>
      </c>
    </row>
    <row r="2574" spans="1:4" x14ac:dyDescent="0.2">
      <c r="A2574" s="5">
        <v>2513</v>
      </c>
      <c r="B2574" s="1832">
        <f>'Acct Summary 7-8'!D20</f>
        <v>2701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601709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779186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1380895</v>
      </c>
      <c r="C2595" s="2" t="s">
        <v>569</v>
      </c>
      <c r="D2595" s="2" t="str">
        <f t="shared" si="39"/>
        <v>Error?</v>
      </c>
    </row>
    <row r="2596" spans="1:4" x14ac:dyDescent="0.2">
      <c r="A2596" s="5">
        <v>2535</v>
      </c>
      <c r="B2596" s="1832">
        <f>'Acct Summary 7-8'!F13</f>
        <v>1379443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1379443</v>
      </c>
      <c r="C2600" s="2" t="s">
        <v>569</v>
      </c>
      <c r="D2600" s="2" t="str">
        <f t="shared" si="39"/>
        <v>Error?</v>
      </c>
    </row>
    <row r="2601" spans="1:4" x14ac:dyDescent="0.2">
      <c r="A2601" s="5">
        <v>2540</v>
      </c>
      <c r="B2601" s="1832">
        <f>'Acct Summary 7-8'!F20</f>
        <v>1452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638974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638974</v>
      </c>
      <c r="C2606" s="2" t="s">
        <v>569</v>
      </c>
      <c r="D2606" s="2" t="str">
        <f t="shared" si="39"/>
        <v>Error?</v>
      </c>
    </row>
    <row r="2607" spans="1:4" x14ac:dyDescent="0.2">
      <c r="A2607" s="5">
        <v>2546</v>
      </c>
      <c r="B2607" s="1832">
        <f>'Acct Summary 7-8'!G12</f>
        <v>186453</v>
      </c>
      <c r="C2607" s="2" t="s">
        <v>569</v>
      </c>
      <c r="D2607" s="2" t="str">
        <f t="shared" si="39"/>
        <v>Error?</v>
      </c>
    </row>
    <row r="2608" spans="1:4" x14ac:dyDescent="0.2">
      <c r="A2608" s="5">
        <v>2547</v>
      </c>
      <c r="B2608" s="1832">
        <f>'Acct Summary 7-8'!G13</f>
        <v>417292</v>
      </c>
      <c r="C2608" s="2" t="s">
        <v>569</v>
      </c>
      <c r="D2608" s="2" t="str">
        <f t="shared" si="39"/>
        <v>Error?</v>
      </c>
    </row>
    <row r="2609" spans="1:4" x14ac:dyDescent="0.2">
      <c r="A2609" s="5">
        <v>2548</v>
      </c>
      <c r="B2609" s="1832">
        <f>'Acct Summary 7-8'!G14</f>
        <v>18491</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622236</v>
      </c>
      <c r="C2612" s="2" t="s">
        <v>569</v>
      </c>
      <c r="D2612" s="2" t="str">
        <f t="shared" si="39"/>
        <v>Error?</v>
      </c>
    </row>
    <row r="2613" spans="1:4" x14ac:dyDescent="0.2">
      <c r="A2613" s="5">
        <v>2552</v>
      </c>
      <c r="B2613" s="1832">
        <f>'Acct Summary 7-8'!G20</f>
        <v>16738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1951900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1951900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1951849</v>
      </c>
      <c r="C2634" s="2" t="s">
        <v>569</v>
      </c>
      <c r="D2634" s="2" t="str">
        <f t="shared" si="40"/>
        <v>Error?</v>
      </c>
    </row>
    <row r="2635" spans="1:4" x14ac:dyDescent="0.2">
      <c r="A2635" s="5">
        <v>2574</v>
      </c>
      <c r="B2635" s="1832">
        <f>'Acct Summary 7-8'!E17</f>
        <v>1951849</v>
      </c>
      <c r="C2635" s="2" t="s">
        <v>569</v>
      </c>
      <c r="D2635" s="2" t="str">
        <f t="shared" si="40"/>
        <v>Error?</v>
      </c>
    </row>
    <row r="2636" spans="1:4" x14ac:dyDescent="0.2">
      <c r="A2636" s="5">
        <v>2575</v>
      </c>
      <c r="B2636" s="1832">
        <f>'Acct Summary 7-8'!E20</f>
        <v>51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88771</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138771</v>
      </c>
      <c r="C2658" s="2" t="s">
        <v>569</v>
      </c>
      <c r="D2658" s="2" t="str">
        <f t="shared" si="40"/>
        <v>Error?</v>
      </c>
    </row>
    <row r="2659" spans="1:4" x14ac:dyDescent="0.2">
      <c r="A2659" s="5">
        <v>2598</v>
      </c>
      <c r="B2659" s="1832">
        <f>'Acct Summary 7-8'!H13</f>
        <v>578408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578408</v>
      </c>
      <c r="C2661" s="2" t="s">
        <v>569</v>
      </c>
      <c r="D2661" s="2" t="str">
        <f t="shared" si="40"/>
        <v>Error?</v>
      </c>
    </row>
    <row r="2662" spans="1:4" x14ac:dyDescent="0.2">
      <c r="A2662" s="5">
        <v>2601</v>
      </c>
      <c r="B2662" s="1832">
        <f>'Acct Summary 7-8'!H20</f>
        <v>-439637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1045365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2976239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1045365</v>
      </c>
      <c r="D2912" s="2" t="str">
        <f t="shared" si="44"/>
        <v>Error?</v>
      </c>
    </row>
    <row r="2913" spans="1:4" x14ac:dyDescent="0.2">
      <c r="A2913" s="5">
        <v>2852</v>
      </c>
      <c r="B2913" s="1832">
        <f>'Assets-Liab 5-6'!I41</f>
        <v>1045365</v>
      </c>
      <c r="C2913" s="2" t="s">
        <v>569</v>
      </c>
      <c r="D2913" s="2" t="str">
        <f t="shared" si="44"/>
        <v>Error?</v>
      </c>
    </row>
    <row r="2914" spans="1:4" x14ac:dyDescent="0.2">
      <c r="A2914" s="5">
        <v>2853</v>
      </c>
      <c r="B2914" s="1832">
        <f>'Assets-Liab 5-6'!L33</f>
        <v>2976239</v>
      </c>
      <c r="D2914" s="2" t="str">
        <f t="shared" si="44"/>
        <v>Error?</v>
      </c>
    </row>
    <row r="2915" spans="1:4" x14ac:dyDescent="0.2">
      <c r="A2915" s="10">
        <v>2854</v>
      </c>
      <c r="B2915" s="1832"/>
      <c r="D2915" s="2" t="str">
        <f t="shared" si="44"/>
        <v>OK</v>
      </c>
    </row>
    <row r="2916" spans="1:4" x14ac:dyDescent="0.2">
      <c r="A2916" s="5">
        <v>2855</v>
      </c>
      <c r="B2916" s="1832">
        <f>'Assets-Liab 5-6'!L34</f>
        <v>2976239</v>
      </c>
      <c r="C2916" s="2" t="s">
        <v>569</v>
      </c>
      <c r="D2916" s="2" t="str">
        <f t="shared" si="44"/>
        <v>Error?</v>
      </c>
    </row>
    <row r="2917" spans="1:4" x14ac:dyDescent="0.2">
      <c r="A2917" s="5">
        <v>2856</v>
      </c>
      <c r="B2917" s="1832">
        <f>'Assets-Liab 5-6'!L41</f>
        <v>2976239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13300</v>
      </c>
      <c r="D2955" s="2" t="str">
        <f t="shared" si="45"/>
        <v>Error?</v>
      </c>
    </row>
    <row r="2956" spans="1:4" x14ac:dyDescent="0.2">
      <c r="A2956" s="5">
        <v>2895</v>
      </c>
      <c r="B2956" s="1832">
        <f>'Expenditures 15-22'!H79</f>
        <v>1201408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147040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15040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13300</v>
      </c>
      <c r="C2973" s="2" t="s">
        <v>569</v>
      </c>
      <c r="D2973" s="2" t="str">
        <f t="shared" si="45"/>
        <v>Error?</v>
      </c>
    </row>
    <row r="2974" spans="1:4" x14ac:dyDescent="0.2">
      <c r="A2974" s="5">
        <v>2913</v>
      </c>
      <c r="B2974" s="1832">
        <f>'Expenditures 15-22'!K79</f>
        <v>1201408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147040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15040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229735</v>
      </c>
      <c r="D3055" s="2" t="str">
        <f t="shared" si="46"/>
        <v>Error?</v>
      </c>
    </row>
    <row r="3056" spans="1:4" x14ac:dyDescent="0.2">
      <c r="A3056" s="5">
        <v>2995</v>
      </c>
      <c r="B3056" s="1832">
        <f>'Expenditures 15-22'!D10</f>
        <v>76580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306315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3673</v>
      </c>
      <c r="D3064" s="2" t="str">
        <f t="shared" si="46"/>
        <v>Error?</v>
      </c>
    </row>
    <row r="3065" spans="1:4" x14ac:dyDescent="0.2">
      <c r="A3065" s="5">
        <v>3004</v>
      </c>
      <c r="B3065" s="1832">
        <f>'Expenditures 15-22'!K219</f>
        <v>3673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153923</v>
      </c>
      <c r="C3225" s="2" t="s">
        <v>569</v>
      </c>
      <c r="D3225" s="2" t="str">
        <f t="shared" si="49"/>
        <v>Error?</v>
      </c>
    </row>
    <row r="3226" spans="1:4" x14ac:dyDescent="0.2">
      <c r="A3226" s="5">
        <v>3165</v>
      </c>
      <c r="B3226" s="1832">
        <f>'Acct Summary 7-8'!I8</f>
        <v>153923</v>
      </c>
      <c r="C3226" s="2" t="s">
        <v>569</v>
      </c>
      <c r="D3226" s="2" t="str">
        <f t="shared" si="49"/>
        <v>Error?</v>
      </c>
    </row>
    <row r="3227" spans="1:4" x14ac:dyDescent="0.2">
      <c r="A3227" s="5">
        <v>3166</v>
      </c>
      <c r="B3227" s="1832">
        <f>'Acct Summary 7-8'!I20</f>
        <v>153923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128729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2701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1452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16738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51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300000</v>
      </c>
      <c r="D3295" s="2" t="str">
        <f t="shared" si="50"/>
        <v>Error?</v>
      </c>
    </row>
    <row r="3296" spans="1:4" x14ac:dyDescent="0.2">
      <c r="A3296" s="5">
        <v>3235</v>
      </c>
      <c r="B3296" s="1832">
        <f>'Acct Summary 7-8'!H44</f>
        <v>300000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300000</v>
      </c>
      <c r="C3299" s="2" t="s">
        <v>569</v>
      </c>
      <c r="D3299" s="2" t="str">
        <f t="shared" si="50"/>
        <v>Error?</v>
      </c>
    </row>
    <row r="3300" spans="1:4" x14ac:dyDescent="0.2">
      <c r="A3300" s="5">
        <v>3239</v>
      </c>
      <c r="B3300" s="1832">
        <f>'Acct Summary 7-8'!H78</f>
        <v>-139637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300000</v>
      </c>
      <c r="C3318" s="2" t="s">
        <v>569</v>
      </c>
      <c r="D3318" s="2" t="str">
        <f t="shared" si="50"/>
        <v>Error?</v>
      </c>
    </row>
    <row r="3319" spans="1:4" x14ac:dyDescent="0.2">
      <c r="A3319" s="5">
        <v>3258</v>
      </c>
      <c r="B3319" s="1832">
        <f>'Acct Summary 7-8'!I77</f>
        <v>-300000</v>
      </c>
      <c r="C3319" s="2" t="s">
        <v>569</v>
      </c>
      <c r="D3319" s="2" t="str">
        <f t="shared" si="50"/>
        <v>Error?</v>
      </c>
    </row>
    <row r="3320" spans="1:4" x14ac:dyDescent="0.2">
      <c r="A3320" s="5">
        <v>3259</v>
      </c>
      <c r="B3320" s="1832">
        <f>'Acct Summary 7-8'!I78</f>
        <v>-146077</v>
      </c>
      <c r="C3320" s="2" t="s">
        <v>569</v>
      </c>
      <c r="D3320" s="2" t="str">
        <f t="shared" si="50"/>
        <v>Error?</v>
      </c>
    </row>
    <row r="3321" spans="1:4" x14ac:dyDescent="0.2">
      <c r="A3321" s="5">
        <v>3260</v>
      </c>
      <c r="B3321" s="1832">
        <f>'Acct Summary 7-8'!I79</f>
        <v>1191442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1045365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1065325</v>
      </c>
      <c r="D3366" s="2" t="str">
        <f t="shared" si="51"/>
        <v>Error?</v>
      </c>
    </row>
    <row r="3367" spans="1:4" x14ac:dyDescent="0.2">
      <c r="A3367" s="5">
        <v>3306</v>
      </c>
      <c r="B3367" s="1832">
        <f>'Expenditures 15-22'!C19</f>
        <v>9031</v>
      </c>
      <c r="D3367" s="2" t="str">
        <f t="shared" si="51"/>
        <v>Error?</v>
      </c>
    </row>
    <row r="3368" spans="1:4" x14ac:dyDescent="0.2">
      <c r="A3368" s="5">
        <v>3307</v>
      </c>
      <c r="B3368" s="1832">
        <f>'Expenditures 15-22'!D8</f>
        <v>206341</v>
      </c>
      <c r="D3368" s="2" t="str">
        <f t="shared" si="51"/>
        <v>Error?</v>
      </c>
    </row>
    <row r="3369" spans="1:4" x14ac:dyDescent="0.2">
      <c r="A3369" s="5">
        <v>3308</v>
      </c>
      <c r="B3369" s="1832">
        <f>'Expenditures 15-22'!D19</f>
        <v>948</v>
      </c>
      <c r="D3369" s="2" t="str">
        <f t="shared" si="51"/>
        <v>Error?</v>
      </c>
    </row>
    <row r="3370" spans="1:4" x14ac:dyDescent="0.2">
      <c r="A3370" s="5">
        <v>3309</v>
      </c>
      <c r="B3370" s="1832">
        <f>'Expenditures 15-22'!E8</f>
        <v>200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1271866</v>
      </c>
      <c r="C3380" s="2" t="s">
        <v>569</v>
      </c>
      <c r="D3380" s="2" t="str">
        <f t="shared" si="51"/>
        <v>Error?</v>
      </c>
    </row>
    <row r="3381" spans="1:4" x14ac:dyDescent="0.2">
      <c r="A3381" s="5">
        <v>3320</v>
      </c>
      <c r="B3381" s="1832">
        <f>'Expenditures 15-22'!K19</f>
        <v>9979</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121899</v>
      </c>
      <c r="D3387" s="2" t="str">
        <f t="shared" si="51"/>
        <v>Error?</v>
      </c>
    </row>
    <row r="3388" spans="1:4" x14ac:dyDescent="0.2">
      <c r="A3388" s="5">
        <v>3327</v>
      </c>
      <c r="B3388" s="1832">
        <f>'Expenditures 15-22'!D217</f>
        <v>48355</v>
      </c>
      <c r="D3388" s="2" t="str">
        <f t="shared" si="51"/>
        <v>Error?</v>
      </c>
    </row>
    <row r="3389" spans="1:4" x14ac:dyDescent="0.2">
      <c r="A3389" s="5">
        <v>3328</v>
      </c>
      <c r="B3389" s="1832">
        <f>'Expenditures 15-22'!D228</f>
        <v>137</v>
      </c>
      <c r="D3389" s="2" t="str">
        <f t="shared" si="51"/>
        <v>Error?</v>
      </c>
    </row>
    <row r="3390" spans="1:4" x14ac:dyDescent="0.2">
      <c r="A3390" s="5">
        <v>3329</v>
      </c>
      <c r="B3390" s="1832">
        <f>'Expenditures 15-22'!K215</f>
        <v>121899</v>
      </c>
      <c r="C3390" s="2" t="s">
        <v>569</v>
      </c>
      <c r="D3390" s="2" t="str">
        <f t="shared" si="51"/>
        <v>Error?</v>
      </c>
    </row>
    <row r="3391" spans="1:4" x14ac:dyDescent="0.2">
      <c r="A3391" s="5">
        <v>3330</v>
      </c>
      <c r="B3391" s="1832">
        <f>'Expenditures 15-22'!K217</f>
        <v>48355</v>
      </c>
      <c r="C3391" s="2" t="s">
        <v>569</v>
      </c>
      <c r="D3391" s="2" t="str">
        <f t="shared" ref="D3391:D3454" si="52">IF(ISBLANK(B3391),"OK",IF(A3391-B3391=0,"OK","Error?"))</f>
        <v>Error?</v>
      </c>
    </row>
    <row r="3392" spans="1:4" x14ac:dyDescent="0.2">
      <c r="A3392" s="5">
        <v>3331</v>
      </c>
      <c r="B3392" s="1832">
        <f>'Expenditures 15-22'!K228</f>
        <v>137</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3641126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845015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517039</v>
      </c>
      <c r="D3417" s="2" t="str">
        <f t="shared" si="52"/>
        <v>Error?</v>
      </c>
    </row>
    <row r="3418" spans="1:4" x14ac:dyDescent="0.2">
      <c r="A3418" s="10">
        <v>3357</v>
      </c>
      <c r="B3418" s="1832"/>
      <c r="D3418" s="2" t="str">
        <f t="shared" si="52"/>
        <v>OK</v>
      </c>
    </row>
    <row r="3419" spans="1:4" x14ac:dyDescent="0.2">
      <c r="A3419" s="5">
        <v>3358</v>
      </c>
      <c r="B3419" s="1832">
        <f>'Assets-Liab 5-6'!F4</f>
        <v>613315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376662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1101310</v>
      </c>
      <c r="D3425" s="2" t="str">
        <f t="shared" si="52"/>
        <v>Error?</v>
      </c>
    </row>
    <row r="3426" spans="1:4" x14ac:dyDescent="0.2">
      <c r="A3426" s="10">
        <v>3365</v>
      </c>
      <c r="B3426" s="1832"/>
      <c r="D3426" s="2" t="str">
        <f t="shared" si="52"/>
        <v>OK</v>
      </c>
    </row>
    <row r="3427" spans="1:4" x14ac:dyDescent="0.2">
      <c r="A3427" s="5">
        <v>3366</v>
      </c>
      <c r="B3427" s="1832">
        <f>'Assets-Liab 5-6'!I4</f>
        <v>1045365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2976239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309656</v>
      </c>
      <c r="C3446" s="2" t="s">
        <v>569</v>
      </c>
      <c r="D3446" s="2" t="str">
        <f t="shared" si="52"/>
        <v>Error?</v>
      </c>
    </row>
    <row r="3447" spans="1:4" x14ac:dyDescent="0.2">
      <c r="A3447" s="5">
        <v>3386</v>
      </c>
      <c r="B3447" s="1832">
        <f>'Tax Sched 23'!D16</f>
        <v>309656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311862</v>
      </c>
      <c r="C3449" s="2" t="s">
        <v>569</v>
      </c>
      <c r="D3449" s="2" t="str">
        <f t="shared" si="52"/>
        <v>Error?</v>
      </c>
    </row>
    <row r="3450" spans="1:4" x14ac:dyDescent="0.2">
      <c r="A3450" s="5">
        <v>3389</v>
      </c>
      <c r="B3450" s="1832">
        <f>'Tax Sched 23'!E16</f>
        <v>311862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336926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336926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336926</v>
      </c>
      <c r="D3567" s="2" t="str">
        <f t="shared" si="54"/>
        <v>Error?</v>
      </c>
    </row>
    <row r="3568" spans="1:4" x14ac:dyDescent="0.2">
      <c r="A3568" s="5">
        <v>3507</v>
      </c>
      <c r="B3568" s="1832">
        <f>'Assets-Liab 5-6'!K41</f>
        <v>336926</v>
      </c>
      <c r="C3568" s="2" t="s">
        <v>569</v>
      </c>
      <c r="D3568" s="2" t="str">
        <f t="shared" si="54"/>
        <v>Error?</v>
      </c>
    </row>
    <row r="3569" spans="1:4" x14ac:dyDescent="0.2">
      <c r="A3569" s="5">
        <v>3508</v>
      </c>
      <c r="B3569" s="1832">
        <f>'Acct Summary 7-8'!K4</f>
        <v>148713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148713</v>
      </c>
      <c r="C3571" s="2" t="s">
        <v>569</v>
      </c>
      <c r="D3571" s="2" t="str">
        <f t="shared" si="54"/>
        <v>Error?</v>
      </c>
    </row>
    <row r="3572" spans="1:4" x14ac:dyDescent="0.2">
      <c r="A3572" s="5">
        <v>3511</v>
      </c>
      <c r="B3572" s="1832">
        <f>'Acct Summary 7-8'!K13</f>
        <v>664435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664435</v>
      </c>
      <c r="C3575" s="2" t="s">
        <v>569</v>
      </c>
      <c r="D3575" s="2" t="str">
        <f t="shared" si="54"/>
        <v>Error?</v>
      </c>
    </row>
    <row r="3576" spans="1:4" x14ac:dyDescent="0.2">
      <c r="A3576" s="5">
        <v>3515</v>
      </c>
      <c r="B3576" s="1832">
        <f>'Acct Summary 7-8'!K20</f>
        <v>-515722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-515722</v>
      </c>
      <c r="C3588" s="2" t="s">
        <v>569</v>
      </c>
      <c r="D3588" s="2" t="str">
        <f t="shared" si="55"/>
        <v>Error?</v>
      </c>
    </row>
    <row r="3589" spans="1:4" x14ac:dyDescent="0.2">
      <c r="A3589" s="5">
        <v>3528</v>
      </c>
      <c r="B3589" s="1832">
        <f>'Acct Summary 7-8'!K79</f>
        <v>852648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336926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600000</v>
      </c>
      <c r="D3632" s="2" t="str">
        <f t="shared" si="55"/>
        <v>Error?</v>
      </c>
    </row>
    <row r="3633" spans="1:4" x14ac:dyDescent="0.2">
      <c r="A3633" s="5">
        <v>3572</v>
      </c>
      <c r="B3633" s="1832">
        <f>'Expenditures 15-22'!E350</f>
        <v>600000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600000</v>
      </c>
      <c r="C3635" s="2" t="s">
        <v>569</v>
      </c>
      <c r="D3635" s="2" t="str">
        <f t="shared" si="55"/>
        <v>Error?</v>
      </c>
    </row>
    <row r="3636" spans="1:4" x14ac:dyDescent="0.2">
      <c r="A3636" s="5">
        <v>3575</v>
      </c>
      <c r="B3636" s="1832">
        <f>'Expenditures 15-22'!E367</f>
        <v>600000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64435</v>
      </c>
      <c r="D3646" s="2" t="str">
        <f t="shared" si="55"/>
        <v>Error?</v>
      </c>
    </row>
    <row r="3647" spans="1:4" x14ac:dyDescent="0.2">
      <c r="A3647" s="5">
        <v>3586</v>
      </c>
      <c r="B3647" s="1832">
        <f>'Expenditures 15-22'!G350</f>
        <v>64435</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64435</v>
      </c>
      <c r="C3649" s="2" t="s">
        <v>569</v>
      </c>
      <c r="D3649" s="2" t="str">
        <f t="shared" si="56"/>
        <v>Error?</v>
      </c>
    </row>
    <row r="3650" spans="1:4" x14ac:dyDescent="0.2">
      <c r="A3650" s="5">
        <v>3589</v>
      </c>
      <c r="B3650" s="1832">
        <f>'Expenditures 15-22'!G367</f>
        <v>64435</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664435</v>
      </c>
      <c r="C3669" s="2" t="s">
        <v>569</v>
      </c>
      <c r="D3669" s="2" t="str">
        <f t="shared" si="56"/>
        <v>Error?</v>
      </c>
    </row>
    <row r="3670" spans="1:4" x14ac:dyDescent="0.2">
      <c r="A3670" s="5">
        <v>3609</v>
      </c>
      <c r="B3670" s="1832">
        <f>'Expenditures 15-22'!K350</f>
        <v>664435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664435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664435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-515722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141253</v>
      </c>
      <c r="C3725" s="2" t="s">
        <v>569</v>
      </c>
      <c r="D3725" s="2" t="str">
        <f t="shared" si="57"/>
        <v>Error?</v>
      </c>
    </row>
    <row r="3726" spans="1:4" x14ac:dyDescent="0.2">
      <c r="A3726" s="5">
        <v>3665</v>
      </c>
      <c r="B3726" s="1832">
        <f>'Tax Sched 23'!D13</f>
        <v>141253</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143848</v>
      </c>
      <c r="C3728" s="2" t="s">
        <v>569</v>
      </c>
      <c r="D3728" s="2" t="str">
        <f t="shared" si="57"/>
        <v>Error?</v>
      </c>
    </row>
    <row r="3729" spans="1:4" x14ac:dyDescent="0.2">
      <c r="A3729" s="5">
        <v>3668</v>
      </c>
      <c r="B3729" s="1832">
        <f>'Tax Sched 23'!E13</f>
        <v>143848</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8980802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26546490</v>
      </c>
      <c r="C4122" s="2" t="s">
        <v>569</v>
      </c>
      <c r="D4122" s="2" t="str">
        <f t="shared" si="63"/>
        <v>Error?</v>
      </c>
    </row>
    <row r="4123" spans="1:4" x14ac:dyDescent="0.2">
      <c r="A4123" s="5">
        <v>4062</v>
      </c>
      <c r="B4123" s="1832">
        <f>'Acct Summary 7-8'!D10</f>
        <v>1449061</v>
      </c>
      <c r="C4123" s="2" t="s">
        <v>569</v>
      </c>
      <c r="D4123" s="2" t="str">
        <f t="shared" si="63"/>
        <v>Error?</v>
      </c>
    </row>
    <row r="4124" spans="1:4" x14ac:dyDescent="0.2">
      <c r="A4124" s="5">
        <v>4063</v>
      </c>
      <c r="B4124" s="1832">
        <f>'Acct Summary 7-8'!E10</f>
        <v>1951900</v>
      </c>
      <c r="C4124" s="2" t="s">
        <v>569</v>
      </c>
      <c r="D4124" s="2" t="str">
        <f t="shared" si="63"/>
        <v>Error?</v>
      </c>
    </row>
    <row r="4125" spans="1:4" x14ac:dyDescent="0.2">
      <c r="A4125" s="5">
        <v>4064</v>
      </c>
      <c r="B4125" s="1832">
        <f>'Acct Summary 7-8'!F10</f>
        <v>1380895</v>
      </c>
      <c r="C4125" s="2" t="s">
        <v>569</v>
      </c>
      <c r="D4125" s="2" t="str">
        <f t="shared" si="63"/>
        <v>Error?</v>
      </c>
    </row>
    <row r="4126" spans="1:4" x14ac:dyDescent="0.2">
      <c r="A4126" s="5">
        <v>4065</v>
      </c>
      <c r="B4126" s="1832">
        <f>'Acct Summary 7-8'!G10</f>
        <v>638974</v>
      </c>
      <c r="C4126" s="2" t="s">
        <v>569</v>
      </c>
      <c r="D4126" s="2" t="str">
        <f t="shared" si="63"/>
        <v>Error?</v>
      </c>
    </row>
    <row r="4127" spans="1:4" x14ac:dyDescent="0.2">
      <c r="A4127" s="5">
        <v>4066</v>
      </c>
      <c r="B4127" s="1832">
        <f>'Acct Summary 7-8'!H10</f>
        <v>138771</v>
      </c>
      <c r="C4127" s="2" t="s">
        <v>569</v>
      </c>
      <c r="D4127" s="2" t="str">
        <f t="shared" si="63"/>
        <v>Error?</v>
      </c>
    </row>
    <row r="4128" spans="1:4" x14ac:dyDescent="0.2">
      <c r="A4128" s="5">
        <v>4067</v>
      </c>
      <c r="B4128" s="1832">
        <f>'Acct Summary 7-8'!I10</f>
        <v>153923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148713</v>
      </c>
      <c r="C4130" s="2" t="s">
        <v>569</v>
      </c>
      <c r="D4130" s="2" t="str">
        <f t="shared" si="63"/>
        <v>Error?</v>
      </c>
    </row>
    <row r="4131" spans="1:4" x14ac:dyDescent="0.2">
      <c r="A4131" s="5">
        <v>4070</v>
      </c>
      <c r="B4131" s="1832">
        <f>'Acct Summary 7-8'!C18</f>
        <v>8980802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26417761</v>
      </c>
      <c r="C4136" s="2" t="s">
        <v>569</v>
      </c>
      <c r="D4136" s="2" t="str">
        <f t="shared" si="63"/>
        <v>Error?</v>
      </c>
    </row>
    <row r="4137" spans="1:4" x14ac:dyDescent="0.2">
      <c r="A4137" s="5">
        <v>4076</v>
      </c>
      <c r="B4137" s="1832">
        <f>'Acct Summary 7-8'!D19</f>
        <v>1446360</v>
      </c>
      <c r="C4137" s="2" t="s">
        <v>569</v>
      </c>
      <c r="D4137" s="2" t="str">
        <f t="shared" si="63"/>
        <v>Error?</v>
      </c>
    </row>
    <row r="4138" spans="1:4" x14ac:dyDescent="0.2">
      <c r="A4138" s="5">
        <v>4077</v>
      </c>
      <c r="B4138" s="1832">
        <f>'Acct Summary 7-8'!E19</f>
        <v>1951849</v>
      </c>
      <c r="C4138" s="2" t="s">
        <v>569</v>
      </c>
      <c r="D4138" s="2" t="str">
        <f t="shared" si="63"/>
        <v>Error?</v>
      </c>
    </row>
    <row r="4139" spans="1:4" x14ac:dyDescent="0.2">
      <c r="A4139" s="5">
        <v>4078</v>
      </c>
      <c r="B4139" s="1832">
        <f>'Acct Summary 7-8'!F19</f>
        <v>1379443</v>
      </c>
      <c r="C4139" s="2" t="s">
        <v>569</v>
      </c>
      <c r="D4139" s="2" t="str">
        <f t="shared" si="63"/>
        <v>Error?</v>
      </c>
    </row>
    <row r="4140" spans="1:4" x14ac:dyDescent="0.2">
      <c r="A4140" s="5">
        <v>4079</v>
      </c>
      <c r="B4140" s="1832">
        <f>'Acct Summary 7-8'!G19</f>
        <v>622236</v>
      </c>
      <c r="C4140" s="2" t="s">
        <v>569</v>
      </c>
      <c r="D4140" s="2" t="str">
        <f t="shared" si="63"/>
        <v>Error?</v>
      </c>
    </row>
    <row r="4141" spans="1:4" x14ac:dyDescent="0.2">
      <c r="A4141" s="5">
        <v>4080</v>
      </c>
      <c r="B4141" s="1832">
        <f>'Acct Summary 7-8'!H19</f>
        <v>578408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664435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26775000</v>
      </c>
      <c r="C4171" s="2" t="s">
        <v>569</v>
      </c>
      <c r="D4171" s="2" t="str">
        <f t="shared" si="64"/>
        <v>Error?</v>
      </c>
    </row>
    <row r="4172" spans="1:4" x14ac:dyDescent="0.2">
      <c r="A4172" s="5">
        <v>4111</v>
      </c>
      <c r="B4172" s="1832">
        <f>'Short-Term Long-Term Debt 24'!J49</f>
        <v>26257961</v>
      </c>
      <c r="C4172" s="2" t="s">
        <v>569</v>
      </c>
      <c r="D4172" s="2" t="str">
        <f t="shared" si="64"/>
        <v>Error?</v>
      </c>
    </row>
    <row r="4173" spans="1:4" x14ac:dyDescent="0.2">
      <c r="A4173" s="5">
        <v>4112</v>
      </c>
      <c r="B4173" s="1832">
        <f>'Short-Term Long-Term Debt 24'!H49</f>
        <v>650000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2430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3130</v>
      </c>
      <c r="C4268" s="2" t="s">
        <v>569</v>
      </c>
      <c r="D4268" s="2" t="str">
        <f t="shared" si="65"/>
        <v>Error?</v>
      </c>
    </row>
    <row r="4269" spans="1:5" x14ac:dyDescent="0.2">
      <c r="A4269" s="12">
        <v>4208</v>
      </c>
      <c r="B4269" s="1832">
        <f>'FP Info 3'!J16</f>
        <v>6087686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49522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16626</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43671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290601038</v>
      </c>
      <c r="D4995" s="2" t="str">
        <f t="shared" si="77"/>
        <v>Error?</v>
      </c>
    </row>
    <row r="4996" spans="1:4" x14ac:dyDescent="0.2">
      <c r="A4996" s="12">
        <v>4935</v>
      </c>
      <c r="B4996" s="1832">
        <f>'FP Info 3'!H31</f>
        <v>40102943.244000003</v>
      </c>
      <c r="D4996" s="2" t="str">
        <f t="shared" si="77"/>
        <v>Error?</v>
      </c>
    </row>
    <row r="4997" spans="1:4" x14ac:dyDescent="0.2">
      <c r="A4997" s="12">
        <v>4936</v>
      </c>
      <c r="B4997" s="1832">
        <f>'FP Info 3'!H37</f>
        <v>26775000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141253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6864921</v>
      </c>
      <c r="D5061" s="2" t="str">
        <f t="shared" si="78"/>
        <v>Error?</v>
      </c>
    </row>
    <row r="5062" spans="1:4" x14ac:dyDescent="0.2">
      <c r="A5062" s="10">
        <v>5001</v>
      </c>
      <c r="B5062" s="1832"/>
      <c r="D5062" s="2" t="str">
        <f t="shared" si="78"/>
        <v>OK</v>
      </c>
    </row>
    <row r="5063" spans="1:4" x14ac:dyDescent="0.2">
      <c r="A5063" s="5">
        <v>5002</v>
      </c>
      <c r="B5063" s="1832">
        <f>'Revenues 9-14'!C7</f>
        <v>113003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7119177</v>
      </c>
      <c r="C5066" s="2" t="s">
        <v>569</v>
      </c>
      <c r="D5066" s="2" t="str">
        <f t="shared" si="78"/>
        <v>Error?</v>
      </c>
    </row>
    <row r="5067" spans="1:4" x14ac:dyDescent="0.2">
      <c r="A5067" s="5">
        <v>5006</v>
      </c>
      <c r="B5067" s="1832">
        <f>'Revenues 9-14'!C14</f>
        <v>350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235600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235950</v>
      </c>
      <c r="C5071" s="2" t="s">
        <v>569</v>
      </c>
      <c r="D5071" s="2" t="str">
        <f t="shared" si="78"/>
        <v>Error?</v>
      </c>
    </row>
    <row r="5072" spans="1:4" x14ac:dyDescent="0.2">
      <c r="A5072" s="5">
        <v>5011</v>
      </c>
      <c r="B5072" s="1832">
        <f>'Revenues 9-14'!C20</f>
        <v>43808</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187034</v>
      </c>
      <c r="D5074" s="2" t="str">
        <f t="shared" si="78"/>
        <v>Error?</v>
      </c>
    </row>
    <row r="5075" spans="1:4" x14ac:dyDescent="0.2">
      <c r="A5075" s="5">
        <v>5014</v>
      </c>
      <c r="B5075" s="1832">
        <f>'Revenues 9-14'!C24</f>
        <v>10090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12918</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253850</v>
      </c>
      <c r="C5087" s="2" t="s">
        <v>569</v>
      </c>
      <c r="D5087" s="2" t="str">
        <f t="shared" si="78"/>
        <v>Error?</v>
      </c>
    </row>
    <row r="5088" spans="1:4" x14ac:dyDescent="0.2">
      <c r="A5088" s="5">
        <v>5027</v>
      </c>
      <c r="B5088" s="1832">
        <f>'Revenues 9-14'!C65</f>
        <v>60340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60340</v>
      </c>
      <c r="C5090" s="2" t="s">
        <v>569</v>
      </c>
      <c r="D5090" s="2" t="str">
        <f t="shared" si="78"/>
        <v>Error?</v>
      </c>
    </row>
    <row r="5091" spans="1:4" x14ac:dyDescent="0.2">
      <c r="A5091" s="5">
        <v>5030</v>
      </c>
      <c r="B5091" s="1832">
        <f>'Revenues 9-14'!C70</f>
        <v>7857</v>
      </c>
      <c r="D5091" s="2" t="str">
        <f t="shared" si="78"/>
        <v>Error?</v>
      </c>
    </row>
    <row r="5092" spans="1:4" x14ac:dyDescent="0.2">
      <c r="A5092" s="5">
        <v>5031</v>
      </c>
      <c r="B5092" s="1832">
        <f>'Revenues 9-14'!C71</f>
        <v>301695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5214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550072</v>
      </c>
      <c r="C5096" s="2" t="s">
        <v>569</v>
      </c>
      <c r="D5096" s="2" t="str">
        <f t="shared" si="78"/>
        <v>Error?</v>
      </c>
    </row>
    <row r="5097" spans="1:4" x14ac:dyDescent="0.2">
      <c r="A5097" s="5">
        <v>5036</v>
      </c>
      <c r="B5097" s="1832">
        <f>'Revenues 9-14'!C77</f>
        <v>38167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53032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91199</v>
      </c>
      <c r="C5102" s="2" t="s">
        <v>569</v>
      </c>
      <c r="D5102" s="2" t="str">
        <f t="shared" si="78"/>
        <v>Error?</v>
      </c>
    </row>
    <row r="5103" spans="1:4" x14ac:dyDescent="0.2">
      <c r="A5103" s="5">
        <v>5042</v>
      </c>
      <c r="B5103" s="1832">
        <f>'Revenues 9-14'!C84</f>
        <v>179764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135</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179899</v>
      </c>
      <c r="C5112" s="2" t="s">
        <v>569</v>
      </c>
      <c r="D5112" s="2" t="str">
        <f t="shared" si="78"/>
        <v>Error?</v>
      </c>
    </row>
    <row r="5113" spans="1:4" x14ac:dyDescent="0.2">
      <c r="A5113" s="5">
        <v>5052</v>
      </c>
      <c r="B5113" s="1832">
        <f>'Revenues 9-14'!C95</f>
        <v>2447</v>
      </c>
      <c r="D5113" s="2" t="str">
        <f t="shared" si="78"/>
        <v>Error?</v>
      </c>
    </row>
    <row r="5114" spans="1:4" x14ac:dyDescent="0.2">
      <c r="A5114" s="5">
        <v>5053</v>
      </c>
      <c r="B5114" s="1832">
        <f>'Revenues 9-14'!C96</f>
        <v>63969</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29208</v>
      </c>
      <c r="D5119" s="2" t="str">
        <f t="shared" ref="D5119:D5182" si="79">IF(ISBLANK(B5119),"OK",IF(A5119-B5119=0,"OK","Error?"))</f>
        <v>Error?</v>
      </c>
    </row>
    <row r="5120" spans="1:4" x14ac:dyDescent="0.2">
      <c r="A5120" s="5">
        <v>5059</v>
      </c>
      <c r="B5120" s="1832">
        <f>'Revenues 9-14'!C108</f>
        <v>130255</v>
      </c>
      <c r="C5120" s="2" t="s">
        <v>569</v>
      </c>
      <c r="D5120" s="2" t="str">
        <f t="shared" si="79"/>
        <v>Error?</v>
      </c>
    </row>
    <row r="5121" spans="1:4" x14ac:dyDescent="0.2">
      <c r="A5121" s="5">
        <v>5060</v>
      </c>
      <c r="B5121" s="1832">
        <f>'Revenues 9-14'!C109</f>
        <v>8620742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7628998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7628998</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33694</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33694</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11701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2342</v>
      </c>
      <c r="D5167" s="2" t="str">
        <f t="shared" si="79"/>
        <v>Error?</v>
      </c>
    </row>
    <row r="5168" spans="1:4" x14ac:dyDescent="0.2">
      <c r="A5168" s="5">
        <v>5107</v>
      </c>
      <c r="B5168" s="1832">
        <f>'Revenues 9-14'!C148</f>
        <v>24446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82742</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154925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7783923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177350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12919</v>
      </c>
      <c r="D5241" s="2" t="str">
        <f t="shared" si="80"/>
        <v>Error?</v>
      </c>
    </row>
    <row r="5242" spans="1:4" x14ac:dyDescent="0.2">
      <c r="A5242" s="5">
        <v>5181</v>
      </c>
      <c r="B5242" s="1832">
        <f>'Revenues 9-14'!C194</f>
        <v>19635</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209904</v>
      </c>
      <c r="C5246" s="2" t="s">
        <v>569</v>
      </c>
      <c r="D5246" s="2" t="str">
        <f t="shared" si="80"/>
        <v>Error?</v>
      </c>
    </row>
    <row r="5247" spans="1:4" x14ac:dyDescent="0.2">
      <c r="A5247" s="5">
        <v>5186</v>
      </c>
      <c r="B5247" s="1832">
        <f>'Revenues 9-14'!C200</f>
        <v>321813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16626</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321813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16327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503160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519487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1161023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1161023</v>
      </c>
      <c r="C5326" s="2" t="s">
        <v>569</v>
      </c>
      <c r="D5326" s="2" t="str">
        <f t="shared" si="82"/>
        <v>Error?</v>
      </c>
    </row>
    <row r="5327" spans="1:5" x14ac:dyDescent="0.2">
      <c r="A5327" s="5">
        <v>5266</v>
      </c>
      <c r="B5327" s="1832">
        <f>'Revenues 9-14'!C268</f>
        <v>17565688</v>
      </c>
      <c r="C5327" s="2" t="s">
        <v>569</v>
      </c>
      <c r="D5327" s="2" t="str">
        <f t="shared" si="82"/>
        <v>Error?</v>
      </c>
    </row>
    <row r="5328" spans="1:5" x14ac:dyDescent="0.2">
      <c r="A5328" s="5">
        <v>5267</v>
      </c>
      <c r="B5328" s="1832">
        <f>'Revenues 9-14'!D5</f>
        <v>1412535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1412535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11409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11409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8143</v>
      </c>
      <c r="D5354" s="2" t="str">
        <f t="shared" si="82"/>
        <v>Error?</v>
      </c>
    </row>
    <row r="5355" spans="1:4" x14ac:dyDescent="0.2">
      <c r="A5355" s="5">
        <v>5294</v>
      </c>
      <c r="B5355" s="1832">
        <f>'Revenues 9-14'!D108</f>
        <v>25117</v>
      </c>
      <c r="C5355" s="2" t="s">
        <v>569</v>
      </c>
      <c r="D5355" s="2" t="str">
        <f t="shared" si="82"/>
        <v>Error?</v>
      </c>
    </row>
    <row r="5356" spans="1:4" x14ac:dyDescent="0.2">
      <c r="A5356" s="5">
        <v>5295</v>
      </c>
      <c r="B5356" s="1832">
        <f>'Revenues 9-14'!D109</f>
        <v>1449061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1449061</v>
      </c>
      <c r="C5508" s="2" t="s">
        <v>569</v>
      </c>
      <c r="D5508" s="2" t="str">
        <f t="shared" si="85"/>
        <v>Error?</v>
      </c>
    </row>
    <row r="5509" spans="1:4" x14ac:dyDescent="0.2">
      <c r="A5509" s="5">
        <v>5448</v>
      </c>
      <c r="B5509" s="1832">
        <f>'Revenues 9-14'!E5</f>
        <v>567419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567419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1152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1152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1383329</v>
      </c>
      <c r="C5526" s="2" t="s">
        <v>569</v>
      </c>
      <c r="D5526" s="2" t="str">
        <f t="shared" si="85"/>
        <v>Error?</v>
      </c>
    </row>
    <row r="5527" spans="1:4" x14ac:dyDescent="0.2">
      <c r="A5527" s="5">
        <v>5466</v>
      </c>
      <c r="B5527" s="1832">
        <f>'Revenues 9-14'!E109</f>
        <v>1951900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1951900</v>
      </c>
      <c r="C5552" s="2" t="s">
        <v>569</v>
      </c>
      <c r="D5552" s="2" t="str">
        <f t="shared" si="85"/>
        <v>Error?</v>
      </c>
    </row>
    <row r="5553" spans="1:4" x14ac:dyDescent="0.2">
      <c r="A5553" s="5">
        <v>5492</v>
      </c>
      <c r="B5553" s="1832">
        <f>'Revenues 9-14'!F5</f>
        <v>565014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565014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724</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7859</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8583</v>
      </c>
      <c r="C5579" s="2" t="s">
        <v>569</v>
      </c>
      <c r="D5579" s="2" t="str">
        <f t="shared" si="86"/>
        <v>Error?</v>
      </c>
    </row>
    <row r="5580" spans="1:4" x14ac:dyDescent="0.2">
      <c r="A5580" s="5">
        <v>5519</v>
      </c>
      <c r="B5580" s="1832">
        <f>'Revenues 9-14'!F65</f>
        <v>6198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6198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21914</v>
      </c>
      <c r="D5586" s="2" t="str">
        <f t="shared" si="86"/>
        <v>Error?</v>
      </c>
    </row>
    <row r="5587" spans="1:4" x14ac:dyDescent="0.2">
      <c r="A5587" s="5">
        <v>5526</v>
      </c>
      <c r="B5587" s="1832">
        <f>'Revenues 9-14'!F108</f>
        <v>21914</v>
      </c>
      <c r="C5587" s="2" t="s">
        <v>569</v>
      </c>
      <c r="D5587" s="2" t="str">
        <f t="shared" si="86"/>
        <v>Error?</v>
      </c>
    </row>
    <row r="5588" spans="1:4" x14ac:dyDescent="0.2">
      <c r="A5588" s="5">
        <v>5527</v>
      </c>
      <c r="B5588" s="1832">
        <f>'Revenues 9-14'!F109</f>
        <v>601709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40000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40000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554061</v>
      </c>
      <c r="D5615" s="2" t="str">
        <f t="shared" si="86"/>
        <v>Error?</v>
      </c>
    </row>
    <row r="5616" spans="1:4" x14ac:dyDescent="0.2">
      <c r="A5616" s="10">
        <v>5555</v>
      </c>
      <c r="B5616" s="1832"/>
      <c r="D5616" s="2" t="str">
        <f t="shared" si="86"/>
        <v>OK</v>
      </c>
    </row>
    <row r="5617" spans="1:5" x14ac:dyDescent="0.2">
      <c r="A5617" s="5">
        <v>5556</v>
      </c>
      <c r="B5617" s="1832">
        <f>'Revenues 9-14'!F153</f>
        <v>185125</v>
      </c>
      <c r="D5617" s="2" t="str">
        <f t="shared" si="86"/>
        <v>Error?</v>
      </c>
    </row>
    <row r="5618" spans="1:5" x14ac:dyDescent="0.2">
      <c r="A5618" s="5">
        <v>5557</v>
      </c>
      <c r="B5618" s="1832">
        <f>'Revenues 9-14'!F155</f>
        <v>739186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739186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779186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1380895</v>
      </c>
      <c r="C5720" s="2" t="s">
        <v>569</v>
      </c>
      <c r="D5720" s="2" t="str">
        <f t="shared" si="88"/>
        <v>Error?</v>
      </c>
    </row>
    <row r="5721" spans="1:4" x14ac:dyDescent="0.2">
      <c r="A5721" s="5">
        <v>5660</v>
      </c>
      <c r="B5721" s="1832">
        <f>'Revenues 9-14'!G5</f>
        <v>309656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309656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619312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15000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15000</v>
      </c>
      <c r="C5730" s="2" t="s">
        <v>569</v>
      </c>
      <c r="D5730" s="2" t="str">
        <f t="shared" si="88"/>
        <v>Error?</v>
      </c>
    </row>
    <row r="5731" spans="1:4" x14ac:dyDescent="0.2">
      <c r="A5731" s="5">
        <v>5670</v>
      </c>
      <c r="B5731" s="1832">
        <f>'Revenues 9-14'!G65</f>
        <v>4662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4662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638974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16291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16291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72480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138771</v>
      </c>
      <c r="C5915" s="2" t="s">
        <v>569</v>
      </c>
      <c r="D5915" s="2" t="str">
        <f t="shared" si="91"/>
        <v>Error?</v>
      </c>
    </row>
    <row r="5916" spans="1:4" x14ac:dyDescent="0.2">
      <c r="A5916" s="5">
        <v>5855</v>
      </c>
      <c r="B5916" s="1832">
        <f>'Revenues 9-14'!I5</f>
        <v>141253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141253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12670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12670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153923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141253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141253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7460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7460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148713</v>
      </c>
      <c r="C6023" s="2" t="s">
        <v>569</v>
      </c>
      <c r="D6023" s="2" t="str">
        <f t="shared" si="93"/>
        <v>Error?</v>
      </c>
    </row>
    <row r="6024" spans="1:5" x14ac:dyDescent="0.2">
      <c r="A6024" s="5">
        <v>5963</v>
      </c>
      <c r="B6024" s="1832">
        <f>'Revenues 9-14'!G109</f>
        <v>638974</v>
      </c>
      <c r="C6024" s="2" t="s">
        <v>569</v>
      </c>
      <c r="D6024" s="2" t="str">
        <f t="shared" si="93"/>
        <v>Error?</v>
      </c>
    </row>
    <row r="6025" spans="1:5" x14ac:dyDescent="0.2">
      <c r="A6025" s="5">
        <v>5964</v>
      </c>
      <c r="B6025" s="1832">
        <f>'Revenues 9-14'!H109</f>
        <v>88771</v>
      </c>
      <c r="C6025" s="2" t="s">
        <v>569</v>
      </c>
      <c r="D6025" s="2" t="str">
        <f t="shared" si="93"/>
        <v>Error?</v>
      </c>
    </row>
    <row r="6026" spans="1:5" x14ac:dyDescent="0.2">
      <c r="A6026" s="5">
        <v>5965</v>
      </c>
      <c r="B6026" s="1832">
        <f>'Revenues 9-14'!I109</f>
        <v>153923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148713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235306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33153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2265.1999999999998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2233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2233</v>
      </c>
      <c r="D6215" s="2" t="str">
        <f t="shared" si="96"/>
        <v>Error?</v>
      </c>
      <c r="E6215" s="2" t="s">
        <v>189</v>
      </c>
    </row>
    <row r="6216" spans="1:5" x14ac:dyDescent="0.2">
      <c r="A6216">
        <v>6155</v>
      </c>
      <c r="B6216" s="1832">
        <f>'Assets-Liab 5-6'!J41</f>
        <v>2233</v>
      </c>
      <c r="D6216" s="2" t="str">
        <f t="shared" si="96"/>
        <v>Error?</v>
      </c>
      <c r="E6216" s="2" t="s">
        <v>189</v>
      </c>
    </row>
    <row r="6217" spans="1:5" x14ac:dyDescent="0.2">
      <c r="A6217">
        <v>6156</v>
      </c>
      <c r="B6217" s="1832">
        <f>'Assets-Liab 5-6'!J4</f>
        <v>2233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649779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649779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649779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649725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649725</v>
      </c>
      <c r="D6229" s="2" t="str">
        <f t="shared" si="96"/>
        <v>Error?</v>
      </c>
      <c r="E6229" s="2" t="s">
        <v>189</v>
      </c>
    </row>
    <row r="6230" spans="1:5" x14ac:dyDescent="0.2">
      <c r="A6230">
        <v>6169</v>
      </c>
      <c r="B6230" s="1832">
        <f>'Acct Summary 7-8'!J20</f>
        <v>54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300000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54</v>
      </c>
      <c r="D6263" s="2" t="str">
        <f t="shared" si="96"/>
        <v>Error?</v>
      </c>
      <c r="E6263" s="2" t="s">
        <v>189</v>
      </c>
    </row>
    <row r="6264" spans="1:5" x14ac:dyDescent="0.2">
      <c r="A6264">
        <v>6203</v>
      </c>
      <c r="B6264" s="1832">
        <f>'Acct Summary 7-8'!J79</f>
        <v>2179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2233</v>
      </c>
      <c r="D6266" s="2" t="str">
        <f t="shared" si="96"/>
        <v>Error?</v>
      </c>
      <c r="E6266" s="2" t="s">
        <v>189</v>
      </c>
    </row>
    <row r="6267" spans="1:5" x14ac:dyDescent="0.2">
      <c r="A6267">
        <v>6206</v>
      </c>
      <c r="B6267" s="1832">
        <f>'Acct Summary 7-8'!C82</f>
        <v>128729</v>
      </c>
      <c r="D6267" s="2" t="str">
        <f t="shared" si="96"/>
        <v>Error?</v>
      </c>
      <c r="E6267" s="2" t="s">
        <v>189</v>
      </c>
    </row>
    <row r="6268" spans="1:5" x14ac:dyDescent="0.2">
      <c r="A6268">
        <v>6207</v>
      </c>
      <c r="B6268" s="1832">
        <f>'Acct Summary 7-8'!D82</f>
        <v>2701</v>
      </c>
      <c r="D6268" s="2" t="str">
        <f t="shared" si="96"/>
        <v>Error?</v>
      </c>
      <c r="E6268" s="2" t="s">
        <v>189</v>
      </c>
    </row>
    <row r="6269" spans="1:5" x14ac:dyDescent="0.2">
      <c r="A6269">
        <v>6208</v>
      </c>
      <c r="B6269" s="1832">
        <f>'Acct Summary 7-8'!E82</f>
        <v>51</v>
      </c>
      <c r="D6269" s="2" t="str">
        <f t="shared" si="96"/>
        <v>Error?</v>
      </c>
      <c r="E6269" s="2" t="s">
        <v>189</v>
      </c>
    </row>
    <row r="6270" spans="1:5" x14ac:dyDescent="0.2">
      <c r="A6270">
        <v>6209</v>
      </c>
      <c r="B6270" s="1832">
        <f>'Acct Summary 7-8'!F82</f>
        <v>1452</v>
      </c>
      <c r="D6270" s="2" t="str">
        <f t="shared" si="96"/>
        <v>Error?</v>
      </c>
      <c r="E6270" s="2" t="s">
        <v>189</v>
      </c>
    </row>
    <row r="6271" spans="1:5" x14ac:dyDescent="0.2">
      <c r="A6271">
        <v>6210</v>
      </c>
      <c r="B6271" s="1832">
        <f>'Acct Summary 7-8'!G82</f>
        <v>16738</v>
      </c>
      <c r="D6271" s="2" t="str">
        <f t="shared" ref="D6271:D6334" si="97">IF(ISBLANK(B6271),"OK",IF(A6271-B6271=0,"OK","Error?"))</f>
        <v>Error?</v>
      </c>
      <c r="E6271" s="2" t="s">
        <v>189</v>
      </c>
    </row>
    <row r="6272" spans="1:5" x14ac:dyDescent="0.2">
      <c r="A6272">
        <v>6211</v>
      </c>
      <c r="B6272" s="1832">
        <f>'Acct Summary 7-8'!H82</f>
        <v>-139637</v>
      </c>
      <c r="D6272" s="2" t="str">
        <f t="shared" si="97"/>
        <v>Error?</v>
      </c>
      <c r="E6272" s="2" t="s">
        <v>189</v>
      </c>
    </row>
    <row r="6273" spans="1:5" x14ac:dyDescent="0.2">
      <c r="A6273">
        <v>6212</v>
      </c>
      <c r="B6273" s="1832">
        <f>'Acct Summary 7-8'!I82</f>
        <v>-146077</v>
      </c>
      <c r="D6273" s="2" t="str">
        <f t="shared" si="97"/>
        <v>Error?</v>
      </c>
      <c r="E6273" s="2" t="s">
        <v>189</v>
      </c>
    </row>
    <row r="6274" spans="1:5" x14ac:dyDescent="0.2">
      <c r="A6274">
        <v>6213</v>
      </c>
      <c r="B6274" s="1832">
        <f>'Acct Summary 7-8'!J82</f>
        <v>54</v>
      </c>
      <c r="D6274" s="2" t="str">
        <f t="shared" si="97"/>
        <v>Error?</v>
      </c>
      <c r="E6274" s="2" t="s">
        <v>189</v>
      </c>
    </row>
    <row r="6275" spans="1:5" x14ac:dyDescent="0.2">
      <c r="A6275">
        <v>6214</v>
      </c>
      <c r="B6275" s="1832">
        <f>'Acct Summary 7-8'!K82</f>
        <v>-515722</v>
      </c>
      <c r="D6275" s="2" t="str">
        <f t="shared" si="97"/>
        <v>Error?</v>
      </c>
      <c r="E6275" s="2" t="s">
        <v>189</v>
      </c>
    </row>
    <row r="6276" spans="1:5" x14ac:dyDescent="0.2">
      <c r="A6276">
        <v>6215</v>
      </c>
      <c r="B6276" s="1832">
        <f>'Acct Summary 7-8'!C83</f>
        <v>3.5917779927460758E-2</v>
      </c>
      <c r="D6276" s="2" t="str">
        <f t="shared" si="97"/>
        <v>Error?</v>
      </c>
      <c r="E6276" s="2" t="s">
        <v>189</v>
      </c>
    </row>
    <row r="6277" spans="1:5" x14ac:dyDescent="0.2">
      <c r="A6277">
        <v>6216</v>
      </c>
      <c r="B6277" s="1832">
        <f>'Acct Summary 7-8'!D83</f>
        <v>3.1963929634385188E-3</v>
      </c>
      <c r="D6277" s="2" t="str">
        <f t="shared" si="97"/>
        <v>Error?</v>
      </c>
      <c r="E6277" s="2" t="s">
        <v>189</v>
      </c>
    </row>
    <row r="6278" spans="1:5" x14ac:dyDescent="0.2">
      <c r="A6278">
        <v>6217</v>
      </c>
      <c r="B6278" s="1832">
        <f>'Acct Summary 7-8'!E83</f>
        <v>9.8638593993876668E-5</v>
      </c>
      <c r="D6278" s="2" t="str">
        <f t="shared" si="97"/>
        <v>Error?</v>
      </c>
      <c r="E6278" s="2" t="s">
        <v>189</v>
      </c>
    </row>
    <row r="6279" spans="1:5" x14ac:dyDescent="0.2">
      <c r="A6279">
        <v>6218</v>
      </c>
      <c r="B6279" s="1832">
        <f>'Acct Summary 7-8'!F83</f>
        <v>2.3674620708771187E-3</v>
      </c>
      <c r="D6279" s="2" t="str">
        <f t="shared" si="97"/>
        <v>Error?</v>
      </c>
      <c r="E6279" s="2" t="s">
        <v>189</v>
      </c>
    </row>
    <row r="6280" spans="1:5" x14ac:dyDescent="0.2">
      <c r="A6280">
        <v>6219</v>
      </c>
      <c r="B6280" s="1832">
        <f>'Acct Summary 7-8'!G83</f>
        <v>4.4437718697399792E-2</v>
      </c>
      <c r="D6280" s="2" t="str">
        <f t="shared" si="97"/>
        <v>Error?</v>
      </c>
      <c r="E6280" s="2" t="s">
        <v>189</v>
      </c>
    </row>
    <row r="6281" spans="1:5" x14ac:dyDescent="0.2">
      <c r="A6281">
        <v>6220</v>
      </c>
      <c r="B6281" s="1832">
        <f>'Acct Summary 7-8'!H83</f>
        <v>-0.126791729848998</v>
      </c>
      <c r="D6281" s="2" t="str">
        <f t="shared" si="97"/>
        <v>Error?</v>
      </c>
      <c r="E6281" s="2" t="s">
        <v>189</v>
      </c>
    </row>
    <row r="6282" spans="1:5" x14ac:dyDescent="0.2">
      <c r="A6282">
        <v>6221</v>
      </c>
      <c r="B6282" s="1832">
        <f>'Acct Summary 7-8'!I83</f>
        <v>-0.13973779493287034</v>
      </c>
      <c r="D6282" s="2" t="str">
        <f t="shared" si="97"/>
        <v>Error?</v>
      </c>
      <c r="E6282" s="2" t="s">
        <v>189</v>
      </c>
    </row>
    <row r="6283" spans="1:5" x14ac:dyDescent="0.2">
      <c r="A6283">
        <v>6222</v>
      </c>
      <c r="B6283" s="1832">
        <f>'Acct Summary 7-8'!J83</f>
        <v>2.4182713837886251E-2</v>
      </c>
      <c r="D6283" s="2" t="str">
        <f t="shared" si="97"/>
        <v>Error?</v>
      </c>
      <c r="E6283" s="2" t="s">
        <v>189</v>
      </c>
    </row>
    <row r="6284" spans="1:5" x14ac:dyDescent="0.2">
      <c r="A6284">
        <v>6223</v>
      </c>
      <c r="B6284" s="1832">
        <f>'Acct Summary 7-8'!K83</f>
        <v>-1.53066845538783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649285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649285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494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494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28689</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5784</v>
      </c>
      <c r="D6339" s="2" t="str">
        <f t="shared" si="98"/>
        <v>Error?</v>
      </c>
      <c r="E6339" s="2" t="s">
        <v>189</v>
      </c>
    </row>
    <row r="6340" spans="1:5" x14ac:dyDescent="0.2">
      <c r="A6340">
        <v>6279</v>
      </c>
      <c r="B6340" s="1832">
        <f>'Revenues 9-14'!C102</f>
        <v>158</v>
      </c>
      <c r="D6340" s="2" t="str">
        <f t="shared" si="98"/>
        <v>Error?</v>
      </c>
      <c r="E6340" s="2" t="s">
        <v>189</v>
      </c>
    </row>
    <row r="6341" spans="1:5" x14ac:dyDescent="0.2">
      <c r="A6341">
        <v>6280</v>
      </c>
      <c r="B6341" s="1832">
        <f>'Revenues 9-14'!D102</f>
        <v>16974</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649779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11701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75000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102611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41877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649725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649779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3918</v>
      </c>
      <c r="D7073" s="2" t="str">
        <f t="shared" si="109"/>
        <v>Error?</v>
      </c>
    </row>
    <row r="7074" spans="1:4" x14ac:dyDescent="0.2">
      <c r="A7074">
        <v>7013</v>
      </c>
      <c r="B7074" s="1832">
        <f>'Expenditures 15-22'!K216</f>
        <v>3918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556</v>
      </c>
      <c r="D7079" s="2" t="str">
        <f t="shared" si="109"/>
        <v>Error?</v>
      </c>
    </row>
    <row r="7080" spans="1:4" x14ac:dyDescent="0.2">
      <c r="A7080">
        <v>7019</v>
      </c>
      <c r="B7080" s="1832">
        <f>'Expenditures 15-22'!K226</f>
        <v>556</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250836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250836</v>
      </c>
      <c r="D7153" s="2" t="str">
        <f t="shared" si="110"/>
        <v>Error?</v>
      </c>
    </row>
    <row r="7154" spans="1:4" x14ac:dyDescent="0.2">
      <c r="A7154">
        <v>7093</v>
      </c>
      <c r="B7154" s="1832">
        <f>'Expenditures 15-22'!C323</f>
        <v>167300</v>
      </c>
      <c r="D7154" s="2" t="str">
        <f t="shared" si="110"/>
        <v>Error?</v>
      </c>
    </row>
    <row r="7155" spans="1:4" x14ac:dyDescent="0.2">
      <c r="A7155">
        <v>7094</v>
      </c>
      <c r="B7155" s="1832">
        <f>'Expenditures 15-22'!D323</f>
        <v>30900</v>
      </c>
      <c r="D7155" s="2" t="str">
        <f t="shared" si="110"/>
        <v>Error?</v>
      </c>
    </row>
    <row r="7156" spans="1:4" x14ac:dyDescent="0.2">
      <c r="A7156">
        <v>7095</v>
      </c>
      <c r="B7156" s="1832">
        <f>'Expenditures 15-22'!E323</f>
        <v>76075</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274275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66500</v>
      </c>
      <c r="D7172" s="2" t="str">
        <f t="shared" si="111"/>
        <v>Error?</v>
      </c>
    </row>
    <row r="7173" spans="1:4" x14ac:dyDescent="0.2">
      <c r="A7173">
        <v>7112</v>
      </c>
      <c r="B7173" s="1832">
        <f>'Expenditures 15-22'!D325</f>
        <v>14500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81000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43614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43614</v>
      </c>
      <c r="D7198" s="2" t="str">
        <f t="shared" si="111"/>
        <v>Error?</v>
      </c>
    </row>
    <row r="7199" spans="1:4" x14ac:dyDescent="0.2">
      <c r="A7199">
        <v>7138</v>
      </c>
      <c r="B7199" s="1832">
        <f>'Expenditures 15-22'!C330</f>
        <v>233800</v>
      </c>
      <c r="D7199" s="2" t="str">
        <f t="shared" si="111"/>
        <v>Error?</v>
      </c>
    </row>
    <row r="7200" spans="1:4" x14ac:dyDescent="0.2">
      <c r="A7200">
        <v>7139</v>
      </c>
      <c r="B7200" s="1832">
        <f>'Expenditures 15-22'!D330</f>
        <v>45400</v>
      </c>
      <c r="D7200" s="2" t="str">
        <f t="shared" si="111"/>
        <v>Error?</v>
      </c>
    </row>
    <row r="7201" spans="1:4" x14ac:dyDescent="0.2">
      <c r="A7201">
        <v>7140</v>
      </c>
      <c r="B7201" s="1832">
        <f>'Expenditures 15-22'!E330</f>
        <v>370525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649725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233800</v>
      </c>
      <c r="D7216" s="2" t="str">
        <f t="shared" si="111"/>
        <v>Error?</v>
      </c>
    </row>
    <row r="7217" spans="1:4" x14ac:dyDescent="0.2">
      <c r="A7217">
        <v>7156</v>
      </c>
      <c r="B7217" s="1832">
        <f>'Expenditures 15-22'!D342</f>
        <v>45400</v>
      </c>
      <c r="D7217" s="2" t="str">
        <f t="shared" si="111"/>
        <v>Error?</v>
      </c>
    </row>
    <row r="7218" spans="1:4" x14ac:dyDescent="0.2">
      <c r="A7218">
        <v>7157</v>
      </c>
      <c r="B7218" s="1832">
        <f>'Expenditures 15-22'!E342</f>
        <v>370525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649725</v>
      </c>
      <c r="D7224" s="2" t="str">
        <f t="shared" si="111"/>
        <v>Error?</v>
      </c>
    </row>
    <row r="7225" spans="1:4" x14ac:dyDescent="0.2">
      <c r="A7225">
        <v>7164</v>
      </c>
      <c r="B7225" s="1832">
        <f>'Expenditures 15-22'!K343</f>
        <v>54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24718</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2893</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38744</v>
      </c>
      <c r="D7263" s="2" t="str">
        <f t="shared" si="112"/>
        <v>Error?</v>
      </c>
    </row>
    <row r="7264" spans="1:4" x14ac:dyDescent="0.2">
      <c r="A7264">
        <f t="shared" si="113"/>
        <v>7203</v>
      </c>
      <c r="B7264" s="1832">
        <f>'Expenditures 15-22'!D17</f>
        <v>3133</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1313838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-505290</v>
      </c>
      <c r="D7709" s="2" t="str">
        <f t="shared" si="126"/>
        <v>Error?</v>
      </c>
      <c r="E7709" s="2" t="s">
        <v>822</v>
      </c>
    </row>
    <row r="7710" spans="1:5" x14ac:dyDescent="0.2">
      <c r="A7710">
        <v>7649</v>
      </c>
      <c r="B7710" s="1832">
        <f>'Rest Tax Levies-Tort Im 25'!J6</f>
        <v>1152</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5784</v>
      </c>
      <c r="D7712" s="2" t="str">
        <f t="shared" si="126"/>
        <v>Error?</v>
      </c>
      <c r="E7712" s="2" t="s">
        <v>822</v>
      </c>
    </row>
    <row r="7713" spans="1:6" x14ac:dyDescent="0.2">
      <c r="A7713">
        <v>7652</v>
      </c>
      <c r="B7713" s="1832">
        <f>'Rest Tax Levies-Tort Im 25'!J8</f>
        <v>1383329</v>
      </c>
      <c r="D7713" s="2" t="str">
        <f t="shared" si="126"/>
        <v>Error?</v>
      </c>
      <c r="E7713" s="2" t="s">
        <v>822</v>
      </c>
    </row>
    <row r="7714" spans="1:6" x14ac:dyDescent="0.2">
      <c r="A7714">
        <v>7653</v>
      </c>
      <c r="B7714" s="1832">
        <f>'Rest Tax Levies-Tort Im 25'!K9</f>
        <v>24446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1384481</v>
      </c>
      <c r="D7718" s="2" t="str">
        <f t="shared" si="126"/>
        <v>Error?</v>
      </c>
      <c r="E7718" s="2" t="s">
        <v>822</v>
      </c>
    </row>
    <row r="7719" spans="1:6" x14ac:dyDescent="0.2">
      <c r="A7719">
        <v>7658</v>
      </c>
      <c r="B7719" s="1832">
        <f>'Rest Tax Levies-Tort Im 25'!K12</f>
        <v>30230</v>
      </c>
      <c r="D7719" s="2" t="str">
        <f t="shared" si="126"/>
        <v>Error?</v>
      </c>
      <c r="E7719" s="2" t="s">
        <v>822</v>
      </c>
    </row>
    <row r="7720" spans="1:6" x14ac:dyDescent="0.2">
      <c r="A7720">
        <v>7659</v>
      </c>
      <c r="B7720" s="1832">
        <f>'Rest Tax Levies-Tort Im 25'!H14</f>
        <v>113003</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734481</v>
      </c>
      <c r="D7724" s="2" t="str">
        <f t="shared" si="126"/>
        <v>Error?</v>
      </c>
      <c r="E7724" s="2" t="s">
        <v>822</v>
      </c>
      <c r="F7724" s="2"/>
    </row>
    <row r="7725" spans="1:6" x14ac:dyDescent="0.2">
      <c r="A7725">
        <v>7664</v>
      </c>
      <c r="B7725" s="1832">
        <f>'Rest Tax Levies-Tort Im 25'!J19</f>
        <v>650000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1384481</v>
      </c>
      <c r="D7727" s="2" t="str">
        <f t="shared" si="126"/>
        <v>Error?</v>
      </c>
      <c r="E7727" s="2" t="s">
        <v>822</v>
      </c>
    </row>
    <row r="7728" spans="1:6" x14ac:dyDescent="0.2">
      <c r="A7728">
        <v>7667</v>
      </c>
      <c r="B7728" s="1832">
        <f>'Revenues 9-14'!E103</f>
        <v>1383329</v>
      </c>
      <c r="D7728" s="2" t="str">
        <f t="shared" si="126"/>
        <v>Error?</v>
      </c>
      <c r="E7728" s="2" t="s">
        <v>822</v>
      </c>
    </row>
    <row r="7729" spans="1:6" x14ac:dyDescent="0.2">
      <c r="A7729">
        <v>7668</v>
      </c>
      <c r="B7729" s="1832">
        <f>'Rest Tax Levies-Tort Im 25'!K22</f>
        <v>41877</v>
      </c>
      <c r="D7729" s="2" t="str">
        <f t="shared" si="126"/>
        <v>Error?</v>
      </c>
      <c r="E7729" s="2" t="s">
        <v>822</v>
      </c>
    </row>
    <row r="7730" spans="1:6" x14ac:dyDescent="0.2">
      <c r="A7730">
        <v>7669</v>
      </c>
      <c r="B7730" s="1832">
        <f>'Rest Tax Levies-Tort Im 25'!J23</f>
        <v>1384481</v>
      </c>
      <c r="D7730" s="2" t="str">
        <f t="shared" si="126"/>
        <v>Error?</v>
      </c>
      <c r="E7730" s="2" t="s">
        <v>822</v>
      </c>
    </row>
    <row r="7731" spans="1:6" x14ac:dyDescent="0.2">
      <c r="A7731">
        <v>7670</v>
      </c>
      <c r="B7731" s="1832">
        <f>'Revenues 9-14'!H103</f>
        <v>72480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-516937</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-516937</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1997</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41877</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31980000</v>
      </c>
      <c r="D7817" s="2" t="str">
        <f t="shared" si="128"/>
        <v>Error?</v>
      </c>
      <c r="E7817" s="4" t="s">
        <v>1966</v>
      </c>
    </row>
    <row r="7818" spans="1:5" x14ac:dyDescent="0.2">
      <c r="A7818">
        <v>7757</v>
      </c>
      <c r="B7818" s="1832">
        <f>'PCTC-OEPP 27-28'!F172</f>
        <v>545228</v>
      </c>
      <c r="D7818" s="2" t="str">
        <f t="shared" si="128"/>
        <v>Error?</v>
      </c>
      <c r="E7818" s="4" t="s">
        <v>1980</v>
      </c>
    </row>
    <row r="7819" spans="1:5" x14ac:dyDescent="0.2">
      <c r="A7819">
        <v>7758</v>
      </c>
      <c r="B7819" s="1832">
        <f>'PCTC-OEPP 27-28'!F173</f>
        <v>860</v>
      </c>
      <c r="D7819" s="2" t="str">
        <f t="shared" si="128"/>
        <v>Error?</v>
      </c>
      <c r="E7819" s="4" t="s">
        <v>1980</v>
      </c>
    </row>
    <row r="7820" spans="1:5" x14ac:dyDescent="0.2">
      <c r="A7820">
        <v>7759</v>
      </c>
      <c r="B7820" s="1832">
        <f>'ICR Computation 30'!E40</f>
        <v>-46853</v>
      </c>
      <c r="D7820" s="2" t="str">
        <f t="shared" si="128"/>
        <v>Error?</v>
      </c>
    </row>
    <row r="7821" spans="1:5" x14ac:dyDescent="0.2">
      <c r="A7821">
        <v>7760</v>
      </c>
      <c r="B7821" s="1832">
        <f>'ICR Computation 30'!G40</f>
        <v>-46853</v>
      </c>
      <c r="D7821" s="2" t="str">
        <f t="shared" si="128"/>
        <v>Error?</v>
      </c>
    </row>
    <row r="7822" spans="1:5" x14ac:dyDescent="0.2">
      <c r="A7822" s="1">
        <v>7761</v>
      </c>
      <c r="B7822" s="1832">
        <f>'PCTC-OEPP 27-28'!F14</f>
        <v>23486572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102611</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7818</v>
      </c>
      <c r="D7830" s="2" t="str">
        <f t="shared" si="129"/>
        <v>Error?</v>
      </c>
      <c r="E7830" s="4" t="s">
        <v>1998</v>
      </c>
    </row>
    <row r="7831" spans="1:5" x14ac:dyDescent="0.2">
      <c r="A7831">
        <v>7770</v>
      </c>
      <c r="B7831" s="1832">
        <f>'PCTC-OEPP 27-28'!F52</f>
        <v>171513</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3054879</v>
      </c>
      <c r="D7834" s="2" t="str">
        <f t="shared" si="129"/>
        <v>Error?</v>
      </c>
      <c r="E7834" s="4" t="s">
        <v>1998</v>
      </c>
    </row>
    <row r="7835" spans="1:5" x14ac:dyDescent="0.2">
      <c r="A7835">
        <v>7774</v>
      </c>
      <c r="B7835" s="1832">
        <f>'PCTC-OEPP 27-28'!F78</f>
        <v>20431693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9019.818559067633</v>
      </c>
      <c r="D7837" s="2" t="str">
        <f t="shared" si="129"/>
        <v>Error?</v>
      </c>
      <c r="E7837" s="4" t="s">
        <v>1998</v>
      </c>
    </row>
    <row r="7838" spans="1:5" x14ac:dyDescent="0.2">
      <c r="A7838">
        <v>7777</v>
      </c>
      <c r="B7838" s="1832">
        <f>'PCTC-OEPP 27-28'!F96</f>
        <v>91199</v>
      </c>
      <c r="D7838" s="2" t="str">
        <f t="shared" si="129"/>
        <v>Error?</v>
      </c>
      <c r="E7838" s="4" t="s">
        <v>1998</v>
      </c>
    </row>
    <row r="7839" spans="1:5" x14ac:dyDescent="0.2">
      <c r="A7839">
        <v>7778</v>
      </c>
      <c r="B7839" s="1832">
        <f>'PCTC-OEPP 27-28'!F102</f>
        <v>2447</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33694</v>
      </c>
      <c r="D7842" s="2" t="str">
        <f t="shared" si="129"/>
        <v>Error?</v>
      </c>
      <c r="E7842" s="4" t="s">
        <v>1998</v>
      </c>
    </row>
    <row r="7843" spans="1:5" x14ac:dyDescent="0.2">
      <c r="A7843">
        <v>7782</v>
      </c>
      <c r="B7843" s="1832">
        <f>'PCTC-OEPP 27-28'!F107</f>
        <v>11701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24446</v>
      </c>
      <c r="D7846" s="2" t="str">
        <f t="shared" si="129"/>
        <v>Error?</v>
      </c>
      <c r="E7846" s="4" t="s">
        <v>1998</v>
      </c>
    </row>
    <row r="7847" spans="1:5" x14ac:dyDescent="0.2">
      <c r="A7847">
        <v>7786</v>
      </c>
      <c r="B7847" s="1832">
        <f>'PCTC-OEPP 27-28'!F112</f>
        <v>739186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209904</v>
      </c>
      <c r="D7858" s="2" t="str">
        <f t="shared" si="129"/>
        <v>Error?</v>
      </c>
      <c r="E7858" s="4" t="s">
        <v>1998</v>
      </c>
    </row>
    <row r="7859" spans="1:5" x14ac:dyDescent="0.2">
      <c r="A7859">
        <v>7798</v>
      </c>
      <c r="B7859" s="1832">
        <f>'PCTC-OEPP 27-28'!F127</f>
        <v>321813</v>
      </c>
      <c r="D7859" s="2" t="str">
        <f t="shared" si="129"/>
        <v>Error?</v>
      </c>
      <c r="E7859" s="4" t="s">
        <v>1998</v>
      </c>
    </row>
    <row r="7860" spans="1:5" x14ac:dyDescent="0.2">
      <c r="A7860">
        <v>7799</v>
      </c>
      <c r="B7860" s="1832">
        <f>'PCTC-OEPP 27-28'!F128</f>
        <v>16626</v>
      </c>
      <c r="D7860" s="2" t="str">
        <f t="shared" si="129"/>
        <v>Error?</v>
      </c>
      <c r="E7860" s="4" t="s">
        <v>1998</v>
      </c>
    </row>
    <row r="7861" spans="1:5" x14ac:dyDescent="0.2">
      <c r="A7861">
        <v>7800</v>
      </c>
      <c r="B7861" s="1832">
        <f>'PCTC-OEPP 27-28'!F129</f>
        <v>503160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43671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49522</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3334353</v>
      </c>
      <c r="D7877" s="2" t="str">
        <f t="shared" si="129"/>
        <v>Error?</v>
      </c>
      <c r="E7877" s="4" t="s">
        <v>1998</v>
      </c>
    </row>
    <row r="7878" spans="1:5" x14ac:dyDescent="0.2">
      <c r="A7878">
        <v>7817</v>
      </c>
      <c r="B7878" s="1832">
        <f>'PCTC-OEPP 27-28'!F176</f>
        <v>17097340</v>
      </c>
      <c r="D7878" s="2" t="str">
        <f t="shared" si="129"/>
        <v>Error?</v>
      </c>
      <c r="E7878" s="4" t="s">
        <v>1998</v>
      </c>
    </row>
    <row r="7879" spans="1:5" x14ac:dyDescent="0.2">
      <c r="A7879">
        <v>7818</v>
      </c>
      <c r="B7879" s="1832">
        <f>'PCTC-OEPP 27-28'!F178</f>
        <v>18411178</v>
      </c>
      <c r="D7879" s="2" t="str">
        <f t="shared" si="129"/>
        <v>Error?</v>
      </c>
      <c r="E7879" s="4" t="s">
        <v>1998</v>
      </c>
    </row>
    <row r="7880" spans="1:5" x14ac:dyDescent="0.2">
      <c r="A7880">
        <v>7819</v>
      </c>
      <c r="B7880" s="1832">
        <f>'PCTC-OEPP 27-28'!F180</f>
        <v>8127.8377185237514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1183</v>
      </c>
      <c r="B2" s="2513"/>
      <c r="C2" s="2513"/>
      <c r="D2" s="2513"/>
      <c r="E2" s="2513"/>
      <c r="F2" s="2513"/>
      <c r="G2" s="2513"/>
      <c r="H2" s="2513"/>
      <c r="I2" s="2513"/>
      <c r="J2" s="2513"/>
      <c r="K2" s="2513"/>
      <c r="L2" s="2513"/>
    </row>
    <row r="3" spans="1:29" ht="13.5" customHeight="1" x14ac:dyDescent="0.2">
      <c r="A3" s="2545" t="s">
        <v>1182</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36" t="str">
        <f>COVER!A17</f>
        <v xml:space="preserve"> Mt Zion CUSD 3</v>
      </c>
      <c r="B7" s="2537"/>
      <c r="C7" s="2537"/>
      <c r="D7" s="2538"/>
      <c r="E7" s="2539">
        <f>COVER!A13</f>
        <v>39055003026</v>
      </c>
      <c r="F7" s="2540"/>
      <c r="G7" s="2546" t="str">
        <f>COVER!T23</f>
        <v>066-003844</v>
      </c>
      <c r="H7" s="2547"/>
      <c r="I7" s="2547"/>
      <c r="J7" s="2547"/>
      <c r="K7" s="2547"/>
      <c r="L7" s="2548"/>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49"/>
      <c r="B9" s="2550"/>
      <c r="C9" s="2550"/>
      <c r="D9" s="2550"/>
      <c r="E9" s="2550"/>
      <c r="F9" s="2551"/>
      <c r="G9" s="2519" t="str">
        <f>COVER!T13</f>
        <v>BKD, LLP</v>
      </c>
      <c r="H9" s="2552"/>
      <c r="I9" s="2552"/>
      <c r="J9" s="2552"/>
      <c r="K9" s="2552"/>
      <c r="L9" s="2553"/>
    </row>
    <row r="10" spans="1:29" ht="13.5" customHeight="1" x14ac:dyDescent="0.2">
      <c r="A10" s="2525" t="str">
        <f>COVER!A38</f>
        <v>Mr. Travis Roundcount</v>
      </c>
      <c r="B10" s="2526"/>
      <c r="C10" s="2526"/>
      <c r="D10" s="2526"/>
      <c r="E10" s="2526"/>
      <c r="F10" s="2527"/>
      <c r="G10" s="2519" t="str">
        <f>COVER!T17</f>
        <v>225 North Water Street, Suite 400</v>
      </c>
      <c r="H10" s="2520"/>
      <c r="I10" s="2520"/>
      <c r="J10" s="2520"/>
      <c r="K10" s="2520"/>
      <c r="L10" s="2521"/>
    </row>
    <row r="11" spans="1:29" ht="13.5" customHeight="1" x14ac:dyDescent="0.2">
      <c r="A11" s="963" t="s">
        <v>1505</v>
      </c>
      <c r="B11" s="964"/>
      <c r="C11" s="965"/>
      <c r="D11" s="970"/>
      <c r="E11" s="965"/>
      <c r="F11" s="969"/>
      <c r="G11" s="2519" t="str">
        <f>COVER!T19</f>
        <v xml:space="preserve">Decatur </v>
      </c>
      <c r="H11" s="2520"/>
      <c r="I11" s="2520"/>
      <c r="J11" s="2520"/>
      <c r="K11" s="2520"/>
      <c r="L11" s="2521"/>
    </row>
    <row r="12" spans="1:29" ht="13.5" customHeight="1" x14ac:dyDescent="0.2">
      <c r="A12" s="2528" t="s">
        <v>1504</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1506</v>
      </c>
      <c r="H13" s="2515"/>
      <c r="I13" s="2531" t="str">
        <f>COVER!T25</f>
        <v>hpowell@bkd.com</v>
      </c>
      <c r="J13" s="2532"/>
      <c r="K13" s="2532"/>
      <c r="L13" s="2533"/>
    </row>
    <row r="14" spans="1:29" ht="13.5" customHeight="1" x14ac:dyDescent="0.2">
      <c r="A14" s="2519" t="str">
        <f>COVER!A19</f>
        <v>1595 W. Main Street</v>
      </c>
      <c r="B14" s="2520"/>
      <c r="C14" s="2520"/>
      <c r="D14" s="2520"/>
      <c r="E14" s="2520"/>
      <c r="F14" s="2521"/>
      <c r="G14" s="974" t="s">
        <v>1177</v>
      </c>
      <c r="H14" s="972"/>
      <c r="I14" s="972"/>
      <c r="J14" s="972"/>
      <c r="K14" s="972"/>
      <c r="L14" s="973"/>
    </row>
    <row r="15" spans="1:29" ht="13.5" customHeight="1" x14ac:dyDescent="0.2">
      <c r="A15" s="2519" t="str">
        <f>COVER!A21</f>
        <v xml:space="preserve">Mt. Zion  </v>
      </c>
      <c r="B15" s="2520"/>
      <c r="C15" s="2520"/>
      <c r="D15" s="2520"/>
      <c r="E15" s="2520"/>
      <c r="F15" s="2521"/>
      <c r="G15" s="2516" t="str">
        <f>COVER!T15</f>
        <v>Heather Powell</v>
      </c>
      <c r="H15" s="2517"/>
      <c r="I15" s="2517"/>
      <c r="J15" s="2517"/>
      <c r="K15" s="2517"/>
      <c r="L15" s="2518"/>
    </row>
    <row r="16" spans="1:29" ht="12.2" customHeight="1" x14ac:dyDescent="0.2">
      <c r="A16" s="2542">
        <f>COVER!A25</f>
        <v>62549</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1176</v>
      </c>
      <c r="H17" s="972"/>
      <c r="I17" s="972"/>
      <c r="J17" s="972"/>
      <c r="K17" s="976" t="s">
        <v>1175</v>
      </c>
      <c r="L17" s="969"/>
      <c r="M17" s="962"/>
    </row>
    <row r="18" spans="1:13" ht="12.2" customHeight="1" x14ac:dyDescent="0.2">
      <c r="A18" s="2525"/>
      <c r="B18" s="2526"/>
      <c r="C18" s="2526"/>
      <c r="D18" s="2526"/>
      <c r="E18" s="2526"/>
      <c r="F18" s="2527"/>
      <c r="G18" s="2536" t="str">
        <f>COVER!T21</f>
        <v>217-429-2411</v>
      </c>
      <c r="H18" s="2537"/>
      <c r="I18" s="2537"/>
      <c r="J18" s="2537"/>
      <c r="K18" s="2536" t="str">
        <f>COVER!X21</f>
        <v>217-429-6109</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Mt Zion CUSD 3</v>
      </c>
      <c r="B1" s="2559"/>
      <c r="C1" s="2559"/>
      <c r="D1" s="2559"/>
    </row>
    <row r="2" spans="1:11" s="991" customFormat="1" ht="12.75" x14ac:dyDescent="0.2">
      <c r="A2" s="2560">
        <f>'Single Audit Cover'!E7</f>
        <v>39055003026</v>
      </c>
      <c r="B2" s="2561"/>
      <c r="C2" s="2561"/>
      <c r="D2" s="2561"/>
    </row>
    <row r="3" spans="1:11" s="991" customFormat="1" ht="12.75" x14ac:dyDescent="0.2">
      <c r="A3" s="2558" t="s">
        <v>1499</v>
      </c>
      <c r="B3" s="2559"/>
      <c r="C3" s="2559"/>
      <c r="D3" s="2559"/>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1969</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Mt Zion CUSD 3</v>
      </c>
      <c r="B1" s="2563"/>
      <c r="C1" s="2563"/>
      <c r="D1" s="2563"/>
      <c r="E1" s="2563"/>
    </row>
    <row r="2" spans="1:5" x14ac:dyDescent="0.2">
      <c r="A2" s="2564">
        <f>'Single Audit Cover'!E7</f>
        <v>39055003026</v>
      </c>
      <c r="B2" s="2564"/>
      <c r="C2" s="2564"/>
      <c r="D2" s="2564"/>
      <c r="E2" s="2564"/>
    </row>
    <row r="3" spans="1:5" ht="4.5" customHeight="1" x14ac:dyDescent="0.2"/>
    <row r="4" spans="1:5" x14ac:dyDescent="0.2">
      <c r="A4" s="2563" t="s">
        <v>1236</v>
      </c>
      <c r="B4" s="2563"/>
      <c r="C4" s="2563"/>
      <c r="D4" s="2563"/>
      <c r="E4" s="2563"/>
    </row>
    <row r="5" spans="1:5" x14ac:dyDescent="0.2">
      <c r="A5" s="2566" t="str">
        <f>'Single Audit Cover'!A4</f>
        <v>Year Ending June 30, 2020</v>
      </c>
      <c r="B5" s="2566"/>
      <c r="C5" s="2566"/>
      <c r="D5" s="2566"/>
      <c r="E5" s="2566"/>
    </row>
    <row r="6" spans="1:5" x14ac:dyDescent="0.2">
      <c r="A6" s="2563" t="s">
        <v>1235</v>
      </c>
      <c r="B6" s="2563"/>
      <c r="C6" s="2563"/>
      <c r="D6" s="2563"/>
      <c r="E6" s="2563"/>
    </row>
    <row r="8" spans="1:5" x14ac:dyDescent="0.2">
      <c r="A8" s="1036" t="s">
        <v>1234</v>
      </c>
    </row>
    <row r="10" spans="1:5" x14ac:dyDescent="0.2">
      <c r="A10" s="1037" t="s">
        <v>1233</v>
      </c>
      <c r="B10" s="1038" t="s">
        <v>1232</v>
      </c>
      <c r="C10" s="1038"/>
      <c r="D10" s="1039">
        <f>SUM('Acct Summary 7-8'!C7:K7)</f>
        <v>1161023</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2004</v>
      </c>
      <c r="B14" s="1038"/>
      <c r="C14" s="1038"/>
      <c r="D14" s="1040">
        <f>'ICR Computation 30'!E11</f>
        <v>33153</v>
      </c>
    </row>
    <row r="15" spans="1:5" x14ac:dyDescent="0.2">
      <c r="A15" s="1037"/>
      <c r="B15" s="1038"/>
      <c r="C15" s="1038"/>
    </row>
    <row r="16" spans="1:5" x14ac:dyDescent="0.2">
      <c r="A16" s="1037" t="s">
        <v>1815</v>
      </c>
      <c r="B16" s="1038"/>
      <c r="C16" s="1038"/>
    </row>
    <row r="17" spans="1:4" x14ac:dyDescent="0.2">
      <c r="A17" s="1037" t="s">
        <v>1964</v>
      </c>
      <c r="B17" s="1038" t="s">
        <v>1227</v>
      </c>
      <c r="C17" s="1038"/>
      <c r="D17" s="1040">
        <f>-SUM('Revenues 9-14'!C264:D264,'Revenues 9-14'!F264:G264)</f>
        <v>0</v>
      </c>
    </row>
    <row r="19" spans="1:4" ht="13.5" thickBot="1" x14ac:dyDescent="0.25">
      <c r="A19" s="1041" t="s">
        <v>1226</v>
      </c>
      <c r="D19" s="1042">
        <f>SUM(D10:D17)</f>
        <v>1194176</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1224</v>
      </c>
      <c r="D32" s="1039">
        <f>SUM(D19:D30)</f>
        <v>1194176</v>
      </c>
    </row>
    <row r="33" spans="1:4" x14ac:dyDescent="0.2">
      <c r="D33" s="1045"/>
    </row>
    <row r="34" spans="1:4" x14ac:dyDescent="0.2">
      <c r="A34" s="295" t="s">
        <v>1223</v>
      </c>
    </row>
    <row r="35" spans="1:4" x14ac:dyDescent="0.2">
      <c r="A35" s="295" t="s">
        <v>1222</v>
      </c>
      <c r="B35" s="1034" t="s">
        <v>1221</v>
      </c>
      <c r="D35" s="1046">
        <v>1194176</v>
      </c>
    </row>
    <row r="37" spans="1:4" x14ac:dyDescent="0.2">
      <c r="A37" s="1036" t="s">
        <v>1220</v>
      </c>
    </row>
    <row r="39" spans="1:4" ht="13.35" customHeight="1" x14ac:dyDescent="0.2">
      <c r="A39" s="1043" t="s">
        <v>1219</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1218</v>
      </c>
      <c r="C47" s="1048"/>
      <c r="D47" s="1049">
        <f>SUM(D35:D45)</f>
        <v>1194176</v>
      </c>
    </row>
    <row r="49" spans="2:4" x14ac:dyDescent="0.2">
      <c r="B49" s="1048" t="s">
        <v>1217</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3"/>
  <sheetViews>
    <sheetView showGridLines="0" topLeftCell="C1" zoomScaleNormal="100" workbookViewId="0">
      <selection activeCell="D29" sqref="D2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Mt Zion CUSD 3</v>
      </c>
      <c r="C1" s="2567"/>
      <c r="D1" s="2567"/>
      <c r="E1" s="2567"/>
      <c r="F1" s="2567"/>
      <c r="G1" s="2567"/>
      <c r="H1" s="2567"/>
      <c r="I1" s="2567"/>
      <c r="J1" s="2567"/>
      <c r="K1" s="2567"/>
      <c r="L1" s="2567"/>
      <c r="M1" s="2567"/>
    </row>
    <row r="2" spans="2:14" ht="15" x14ac:dyDescent="0.2">
      <c r="B2" s="2568">
        <f>'Single Audit Cover'!E7</f>
        <v>39055003026</v>
      </c>
      <c r="C2" s="2568"/>
      <c r="D2" s="2568"/>
      <c r="E2" s="2568"/>
      <c r="F2" s="2568"/>
      <c r="G2" s="2568"/>
      <c r="H2" s="2568"/>
      <c r="I2" s="2568"/>
      <c r="J2" s="2568"/>
      <c r="K2" s="2568"/>
      <c r="L2" s="2568"/>
      <c r="M2" s="2568"/>
      <c r="N2" s="1078"/>
    </row>
    <row r="3" spans="2:14" ht="15" x14ac:dyDescent="0.2">
      <c r="B3" s="2569" t="s">
        <v>1210</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1256</v>
      </c>
      <c r="E6" s="1082" t="s">
        <v>524</v>
      </c>
      <c r="F6" s="1083"/>
      <c r="G6" s="1084" t="s">
        <v>1711</v>
      </c>
      <c r="H6" s="1082"/>
      <c r="I6" s="1082"/>
      <c r="J6" s="1916"/>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1568</v>
      </c>
      <c r="I9" s="1914"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2068</v>
      </c>
      <c r="C11" s="1821"/>
      <c r="D11" s="1822"/>
      <c r="E11" s="1823"/>
      <c r="F11" s="1823"/>
      <c r="G11" s="1823"/>
      <c r="H11" s="1823"/>
      <c r="I11" s="1823"/>
      <c r="J11" s="1823"/>
      <c r="K11" s="1823"/>
      <c r="L11" s="1823">
        <f>+G11+I11+K11</f>
        <v>0</v>
      </c>
      <c r="M11" s="1823"/>
    </row>
    <row r="12" spans="2:14" ht="20.100000000000001" customHeight="1" x14ac:dyDescent="0.2">
      <c r="B12" s="1113" t="s">
        <v>2069</v>
      </c>
      <c r="C12" s="1824"/>
      <c r="D12" s="1825"/>
      <c r="E12" s="1826"/>
      <c r="F12" s="1826"/>
      <c r="G12" s="1826"/>
      <c r="H12" s="1826"/>
      <c r="I12" s="1826"/>
      <c r="J12" s="1826"/>
      <c r="K12" s="1826"/>
      <c r="L12" s="1823">
        <f t="shared" ref="L12:L28" si="0">+G12+I12+K12</f>
        <v>0</v>
      </c>
      <c r="M12" s="1826"/>
    </row>
    <row r="13" spans="2:14" ht="20.100000000000001" customHeight="1" x14ac:dyDescent="0.2">
      <c r="B13" s="1113" t="s">
        <v>2070</v>
      </c>
      <c r="C13" s="1824">
        <v>10.555</v>
      </c>
      <c r="D13" s="1825"/>
      <c r="E13" s="1826">
        <v>34716</v>
      </c>
      <c r="F13" s="1826">
        <v>32041</v>
      </c>
      <c r="G13" s="1826">
        <v>34716</v>
      </c>
      <c r="H13" s="1826"/>
      <c r="I13" s="1826">
        <v>32041</v>
      </c>
      <c r="J13" s="1826"/>
      <c r="K13" s="1826"/>
      <c r="L13" s="1823">
        <f>+G13+I13+K13</f>
        <v>66757</v>
      </c>
      <c r="M13" s="1826" t="s">
        <v>2104</v>
      </c>
    </row>
    <row r="14" spans="2:14" ht="20.100000000000001" customHeight="1" x14ac:dyDescent="0.2">
      <c r="B14" s="1113" t="s">
        <v>2105</v>
      </c>
      <c r="C14" s="1824">
        <v>10.555</v>
      </c>
      <c r="D14" s="1825"/>
      <c r="E14" s="1826"/>
      <c r="F14" s="1826">
        <v>1112</v>
      </c>
      <c r="G14" s="1826"/>
      <c r="H14" s="1826"/>
      <c r="I14" s="1826">
        <v>1112</v>
      </c>
      <c r="J14" s="1826"/>
      <c r="K14" s="1826"/>
      <c r="L14" s="1823">
        <f>G14+I14+K14</f>
        <v>1112</v>
      </c>
      <c r="M14" s="1826" t="s">
        <v>2104</v>
      </c>
    </row>
    <row r="15" spans="2:14" ht="20.100000000000001" customHeight="1" x14ac:dyDescent="0.2">
      <c r="B15" s="1113"/>
      <c r="C15" s="1824"/>
      <c r="D15" s="1825"/>
      <c r="E15" s="1826"/>
      <c r="F15" s="1826"/>
      <c r="G15" s="1826"/>
      <c r="H15" s="1826"/>
      <c r="I15" s="1826"/>
      <c r="J15" s="1826"/>
      <c r="K15" s="1826"/>
      <c r="L15" s="1823">
        <f t="shared" si="0"/>
        <v>0</v>
      </c>
      <c r="M15" s="1826"/>
    </row>
    <row r="16" spans="2:14" ht="20.100000000000001" customHeight="1" x14ac:dyDescent="0.2">
      <c r="B16" s="1113" t="s">
        <v>2071</v>
      </c>
      <c r="C16" s="1824">
        <v>10.555</v>
      </c>
      <c r="D16" s="1825" t="s">
        <v>2109</v>
      </c>
      <c r="E16" s="1826"/>
      <c r="F16" s="1826">
        <v>136610</v>
      </c>
      <c r="G16" s="1826"/>
      <c r="H16" s="1826"/>
      <c r="I16" s="1826">
        <v>136610</v>
      </c>
      <c r="J16" s="1826"/>
      <c r="K16" s="1826"/>
      <c r="L16" s="1823">
        <f t="shared" si="0"/>
        <v>136610</v>
      </c>
      <c r="M16" s="1826" t="s">
        <v>2104</v>
      </c>
    </row>
    <row r="17" spans="2:14" ht="20.100000000000001" customHeight="1" x14ac:dyDescent="0.2">
      <c r="B17" s="1113"/>
      <c r="C17" s="1824">
        <v>10.555</v>
      </c>
      <c r="D17" s="1825" t="s">
        <v>2078</v>
      </c>
      <c r="E17" s="1826">
        <v>185313</v>
      </c>
      <c r="F17" s="1826">
        <v>40740</v>
      </c>
      <c r="G17" s="1826">
        <v>185314</v>
      </c>
      <c r="H17" s="1826"/>
      <c r="I17" s="1826">
        <v>40740</v>
      </c>
      <c r="J17" s="1826"/>
      <c r="K17" s="1826"/>
      <c r="L17" s="1823">
        <f t="shared" si="0"/>
        <v>226054</v>
      </c>
      <c r="M17" s="1826" t="s">
        <v>2104</v>
      </c>
    </row>
    <row r="18" spans="2:14" ht="20.100000000000001" customHeight="1" x14ac:dyDescent="0.2">
      <c r="B18" s="1113" t="s">
        <v>2072</v>
      </c>
      <c r="C18" s="1824"/>
      <c r="D18" s="1825"/>
      <c r="E18" s="1826">
        <f>+E17+E16+E13</f>
        <v>220029</v>
      </c>
      <c r="F18" s="1826">
        <f>SUM(F13:F17)</f>
        <v>210503</v>
      </c>
      <c r="G18" s="1826">
        <f>+G17+G16+G13</f>
        <v>220030</v>
      </c>
      <c r="H18" s="1826"/>
      <c r="I18" s="1826">
        <f>SUM(I13:I17)</f>
        <v>210503</v>
      </c>
      <c r="J18" s="1826"/>
      <c r="K18" s="1826"/>
      <c r="L18" s="1823">
        <f t="shared" si="0"/>
        <v>430533</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t="s">
        <v>2073</v>
      </c>
      <c r="C20" s="1824">
        <v>10.553000000000001</v>
      </c>
      <c r="D20" s="1825" t="s">
        <v>2108</v>
      </c>
      <c r="E20" s="1826"/>
      <c r="F20" s="1826">
        <v>10693</v>
      </c>
      <c r="G20" s="1826"/>
      <c r="H20" s="1826"/>
      <c r="I20" s="1826">
        <v>10693</v>
      </c>
      <c r="J20" s="1826"/>
      <c r="K20" s="1826"/>
      <c r="L20" s="1823">
        <f t="shared" si="0"/>
        <v>10693</v>
      </c>
      <c r="M20" s="1826" t="s">
        <v>2104</v>
      </c>
    </row>
    <row r="21" spans="2:14" ht="20.100000000000001" customHeight="1" x14ac:dyDescent="0.2">
      <c r="B21" s="1113"/>
      <c r="C21" s="1824">
        <v>10.553000000000001</v>
      </c>
      <c r="D21" s="1825" t="s">
        <v>2077</v>
      </c>
      <c r="E21" s="1826">
        <v>16727</v>
      </c>
      <c r="F21" s="1826">
        <v>2226</v>
      </c>
      <c r="G21" s="1826">
        <v>16727</v>
      </c>
      <c r="H21" s="1826"/>
      <c r="I21" s="1826">
        <v>2226</v>
      </c>
      <c r="J21" s="1826"/>
      <c r="K21" s="1826"/>
      <c r="L21" s="1823">
        <f t="shared" si="0"/>
        <v>18953</v>
      </c>
      <c r="M21" s="1826" t="s">
        <v>2104</v>
      </c>
    </row>
    <row r="22" spans="2:14" ht="20.100000000000001" customHeight="1" x14ac:dyDescent="0.2">
      <c r="B22" s="1113" t="s">
        <v>2074</v>
      </c>
      <c r="C22" s="1824"/>
      <c r="D22" s="1825"/>
      <c r="E22" s="1826">
        <f>+E21+E20</f>
        <v>16727</v>
      </c>
      <c r="F22" s="1826">
        <f>F20+F21</f>
        <v>12919</v>
      </c>
      <c r="G22" s="1826">
        <f>+G21+G20</f>
        <v>16727</v>
      </c>
      <c r="H22" s="1826"/>
      <c r="I22" s="1826">
        <f>I20+I21</f>
        <v>12919</v>
      </c>
      <c r="J22" s="1826"/>
      <c r="K22" s="1826"/>
      <c r="L22" s="1823">
        <f t="shared" si="0"/>
        <v>29646</v>
      </c>
      <c r="M22" s="1826"/>
    </row>
    <row r="23" spans="2:14" ht="20.100000000000001" customHeight="1" x14ac:dyDescent="0.2">
      <c r="B23" s="1113"/>
      <c r="C23" s="1824"/>
      <c r="D23" s="1825"/>
      <c r="E23" s="1826"/>
      <c r="F23" s="1826"/>
      <c r="G23" s="1826"/>
      <c r="H23" s="1826"/>
      <c r="I23" s="1826"/>
      <c r="J23" s="1826"/>
      <c r="K23" s="1826"/>
      <c r="L23" s="1823"/>
      <c r="M23" s="1826"/>
    </row>
    <row r="24" spans="2:14" ht="20.100000000000001" customHeight="1" x14ac:dyDescent="0.2">
      <c r="B24" s="1113" t="s">
        <v>2106</v>
      </c>
      <c r="C24" s="1824">
        <v>10.558999999999999</v>
      </c>
      <c r="D24" s="1825" t="s">
        <v>2107</v>
      </c>
      <c r="E24" s="1826"/>
      <c r="F24" s="1826">
        <v>19635</v>
      </c>
      <c r="G24" s="1826"/>
      <c r="H24" s="1826"/>
      <c r="I24" s="1826">
        <v>19635</v>
      </c>
      <c r="J24" s="1826"/>
      <c r="K24" s="1826"/>
      <c r="L24" s="1823">
        <f>G24+I24+K24</f>
        <v>19635</v>
      </c>
      <c r="M24" s="1826" t="s">
        <v>2104</v>
      </c>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t="s">
        <v>2075</v>
      </c>
      <c r="C26" s="1824"/>
      <c r="D26" s="1825"/>
      <c r="E26" s="1826">
        <f>+E21+E20+E17+E16+E13</f>
        <v>236756</v>
      </c>
      <c r="F26" s="1826">
        <f>F18+F22+F24</f>
        <v>243057</v>
      </c>
      <c r="G26" s="1826">
        <f>+G13+G16+G17+G20+G21</f>
        <v>236757</v>
      </c>
      <c r="H26" s="1826"/>
      <c r="I26" s="1826">
        <f>I18+I22+I24</f>
        <v>243057</v>
      </c>
      <c r="J26" s="1826"/>
      <c r="K26" s="1826"/>
      <c r="L26" s="1823">
        <f t="shared" si="0"/>
        <v>479814</v>
      </c>
      <c r="M26" s="1826"/>
    </row>
    <row r="27" spans="2:14" ht="20.100000000000001" customHeight="1" x14ac:dyDescent="0.2">
      <c r="B27" s="1113" t="s">
        <v>2076</v>
      </c>
      <c r="C27" s="1824"/>
      <c r="D27" s="1825"/>
      <c r="E27" s="1826">
        <f>+E21+E20+E17+E16+E13</f>
        <v>236756</v>
      </c>
      <c r="F27" s="1826">
        <f>F26</f>
        <v>243057</v>
      </c>
      <c r="G27" s="1826">
        <f>+G20+G21+G17+G16+G13</f>
        <v>236757</v>
      </c>
      <c r="H27" s="1826"/>
      <c r="I27" s="1826">
        <f>I26</f>
        <v>243057</v>
      </c>
      <c r="J27" s="1826"/>
      <c r="K27" s="1826"/>
      <c r="L27" s="1823">
        <f t="shared" si="0"/>
        <v>479814</v>
      </c>
      <c r="M27" s="1826"/>
    </row>
    <row r="28" spans="2:14" ht="20.100000000000001" customHeight="1" x14ac:dyDescent="0.2">
      <c r="B28" s="1113"/>
      <c r="C28" s="1824"/>
      <c r="D28" s="1825"/>
      <c r="E28" s="1826"/>
      <c r="F28" s="1826"/>
      <c r="G28" s="1826"/>
      <c r="H28" s="1826"/>
      <c r="I28" s="1826"/>
      <c r="J28" s="1826"/>
      <c r="K28" s="1826"/>
      <c r="L28" s="1823">
        <f t="shared" si="0"/>
        <v>0</v>
      </c>
      <c r="M28" s="1826"/>
    </row>
    <row r="29" spans="2:14" ht="12.75" customHeight="1" x14ac:dyDescent="0.2">
      <c r="B29" s="1115"/>
      <c r="C29" s="1116"/>
      <c r="D29" s="1117"/>
      <c r="E29" s="1118"/>
      <c r="F29" s="1118"/>
      <c r="G29" s="1118"/>
      <c r="H29" s="1118"/>
      <c r="I29" s="1118"/>
      <c r="J29" s="1118"/>
      <c r="K29" s="1118"/>
      <c r="L29" s="1118"/>
      <c r="M29" s="1118"/>
      <c r="N29" s="1114"/>
    </row>
    <row r="30" spans="2:14" x14ac:dyDescent="0.2">
      <c r="B30" s="1033"/>
      <c r="C30" s="1119"/>
      <c r="D30" s="1120"/>
      <c r="E30" s="1033"/>
      <c r="F30" s="1033"/>
      <c r="G30" s="1026"/>
      <c r="H30" s="1026"/>
      <c r="I30" s="1026"/>
      <c r="J30" s="1026"/>
      <c r="K30" s="1026"/>
      <c r="L30" s="1026"/>
      <c r="M30" s="1033"/>
      <c r="N30" s="1114"/>
    </row>
    <row r="31" spans="2:14" ht="13.5" customHeight="1" x14ac:dyDescent="0.2">
      <c r="B31" s="1058" t="s">
        <v>1714</v>
      </c>
      <c r="C31" s="1119"/>
      <c r="D31" s="1120"/>
      <c r="E31" s="1033"/>
      <c r="F31" s="1033"/>
      <c r="G31" s="1026"/>
      <c r="H31" s="1026"/>
      <c r="I31" s="1026"/>
      <c r="J31" s="1026"/>
      <c r="K31" s="1026"/>
      <c r="L31" s="1026"/>
      <c r="M31" s="1033"/>
      <c r="N31" s="1114"/>
    </row>
    <row r="32" spans="2:14" ht="8.25" customHeight="1" x14ac:dyDescent="0.2">
      <c r="B32" s="1058"/>
      <c r="C32" s="1119"/>
      <c r="D32" s="1120"/>
      <c r="E32" s="1033"/>
      <c r="F32" s="1033"/>
      <c r="G32" s="1026"/>
      <c r="H32" s="1026"/>
      <c r="I32" s="1026"/>
      <c r="J32" s="1026"/>
      <c r="K32" s="1026"/>
      <c r="L32" s="1026"/>
      <c r="M32" s="1033"/>
      <c r="N32" s="1114"/>
    </row>
    <row r="33" spans="2:13" x14ac:dyDescent="0.2">
      <c r="B33" s="1121" t="s">
        <v>1812</v>
      </c>
      <c r="C33" s="1122"/>
      <c r="D33" s="1123"/>
      <c r="E33" s="1124"/>
      <c r="F33" s="1124"/>
      <c r="G33" s="1124"/>
      <c r="H33" s="1124"/>
      <c r="I33" s="295"/>
      <c r="J33" s="295"/>
    </row>
    <row r="34" spans="2:13" x14ac:dyDescent="0.2">
      <c r="B34" s="1053"/>
      <c r="C34" s="1125"/>
      <c r="D34" s="1126"/>
      <c r="E34" s="1054"/>
      <c r="F34" s="1054"/>
      <c r="G34" s="295"/>
      <c r="H34" s="295"/>
      <c r="I34" s="295"/>
      <c r="J34" s="295"/>
    </row>
    <row r="35" spans="2:13" ht="13.5" customHeight="1" x14ac:dyDescent="0.2">
      <c r="B35" s="1052" t="s">
        <v>1237</v>
      </c>
      <c r="G35" s="295"/>
      <c r="H35" s="295"/>
      <c r="I35" s="295"/>
      <c r="J35" s="295"/>
    </row>
    <row r="36" spans="2:13" ht="13.5" customHeight="1" x14ac:dyDescent="0.2">
      <c r="B36" s="1129"/>
      <c r="C36" s="1130"/>
      <c r="D36" s="1131"/>
      <c r="E36" s="1073"/>
      <c r="F36" s="1073"/>
      <c r="G36" s="1073"/>
      <c r="H36" s="1073"/>
      <c r="I36" s="1073"/>
      <c r="J36" s="1073"/>
      <c r="K36" s="1132"/>
      <c r="L36" s="1132"/>
      <c r="M36" s="1073"/>
    </row>
    <row r="37" spans="2:13" ht="9.6" customHeight="1" x14ac:dyDescent="0.2">
      <c r="B37" s="1133"/>
      <c r="G37" s="295"/>
      <c r="H37" s="295"/>
      <c r="I37" s="295"/>
      <c r="J37" s="295"/>
    </row>
    <row r="38" spans="2:13" ht="11.25" customHeight="1" x14ac:dyDescent="0.2">
      <c r="B38" s="1134" t="s">
        <v>1715</v>
      </c>
      <c r="C38" s="1135"/>
      <c r="D38" s="1135"/>
      <c r="E38" s="1135"/>
      <c r="F38" s="1135"/>
      <c r="G38" s="1135"/>
      <c r="H38" s="1135"/>
      <c r="I38" s="1136"/>
      <c r="J38" s="1136"/>
      <c r="K38" s="1136"/>
      <c r="L38" s="1136"/>
      <c r="M38" s="1136"/>
    </row>
    <row r="39" spans="2:13" ht="11.25" customHeight="1" x14ac:dyDescent="0.2">
      <c r="B39" s="1137" t="s">
        <v>1570</v>
      </c>
      <c r="C39" s="1136"/>
      <c r="D39" s="1136"/>
      <c r="E39" s="1136"/>
      <c r="F39" s="1136"/>
      <c r="G39" s="1136"/>
      <c r="H39" s="1136"/>
      <c r="I39" s="1136"/>
      <c r="J39" s="1136"/>
      <c r="K39" s="1136"/>
      <c r="L39" s="1136"/>
      <c r="M39" s="1136"/>
    </row>
    <row r="40" spans="2:13" ht="3.95" customHeight="1" x14ac:dyDescent="0.2">
      <c r="B40" s="1137"/>
      <c r="C40" s="1136"/>
      <c r="D40" s="1136"/>
      <c r="E40" s="1136"/>
      <c r="F40" s="1136"/>
      <c r="G40" s="1136"/>
      <c r="H40" s="1136"/>
      <c r="I40" s="1136"/>
      <c r="J40" s="1136"/>
      <c r="K40" s="1136"/>
      <c r="L40" s="1136"/>
      <c r="M40" s="1136"/>
    </row>
    <row r="41" spans="2:13" ht="11.25" customHeight="1" x14ac:dyDescent="0.2">
      <c r="B41" s="1134" t="s">
        <v>1716</v>
      </c>
      <c r="C41" s="1136"/>
      <c r="D41" s="1136"/>
      <c r="E41" s="1136"/>
      <c r="F41" s="1136"/>
      <c r="G41" s="1136"/>
      <c r="H41" s="1136"/>
      <c r="I41" s="1136"/>
      <c r="J41" s="1136"/>
      <c r="K41" s="1136"/>
      <c r="L41" s="1136"/>
      <c r="M41" s="1136"/>
    </row>
    <row r="42" spans="2:13" ht="11.25" customHeight="1" x14ac:dyDescent="0.2">
      <c r="B42" s="1076" t="s">
        <v>1571</v>
      </c>
      <c r="C42" s="1138"/>
      <c r="D42" s="1139"/>
      <c r="E42" s="1076"/>
      <c r="F42" s="1076"/>
      <c r="G42" s="1076"/>
      <c r="H42" s="1076"/>
      <c r="I42" s="1076"/>
      <c r="J42" s="1076"/>
      <c r="K42" s="1140"/>
      <c r="L42" s="1140"/>
      <c r="M42" s="1076"/>
    </row>
    <row r="43" spans="2:13" ht="3.95" customHeight="1" x14ac:dyDescent="0.2">
      <c r="B43" s="1076"/>
      <c r="C43" s="1138"/>
      <c r="D43" s="1139"/>
      <c r="E43" s="1076"/>
      <c r="F43" s="1076"/>
      <c r="G43" s="1076"/>
      <c r="H43" s="1076"/>
      <c r="I43" s="1076"/>
      <c r="J43" s="1076"/>
      <c r="K43" s="1140"/>
      <c r="L43" s="1140"/>
      <c r="M43" s="1076"/>
    </row>
    <row r="44" spans="2:13" ht="11.25" customHeight="1" x14ac:dyDescent="0.2">
      <c r="B44" s="1141" t="s">
        <v>1717</v>
      </c>
      <c r="C44" s="1138"/>
      <c r="D44" s="1139"/>
      <c r="E44" s="1076"/>
      <c r="F44" s="1076"/>
      <c r="G44" s="1076"/>
      <c r="H44" s="1076"/>
      <c r="I44" s="1076"/>
      <c r="J44" s="1076"/>
      <c r="K44" s="1140"/>
      <c r="L44" s="1140"/>
      <c r="M44" s="1076"/>
    </row>
    <row r="45" spans="2:13" ht="3.95" customHeight="1" x14ac:dyDescent="0.2">
      <c r="B45" s="1141"/>
      <c r="C45" s="1138"/>
      <c r="D45" s="1139"/>
      <c r="E45" s="1076"/>
      <c r="F45" s="1076"/>
      <c r="G45" s="1076"/>
      <c r="H45" s="1076"/>
      <c r="I45" s="1076"/>
      <c r="J45" s="1076"/>
      <c r="K45" s="1140"/>
      <c r="L45" s="1140"/>
      <c r="M45" s="1076"/>
    </row>
    <row r="46" spans="2:13" ht="11.25" customHeight="1" x14ac:dyDescent="0.2">
      <c r="B46" s="1142" t="s">
        <v>1718</v>
      </c>
      <c r="C46" s="1138"/>
      <c r="D46" s="1139"/>
      <c r="E46" s="1076"/>
      <c r="F46" s="1076"/>
      <c r="G46" s="1076"/>
      <c r="H46" s="1076"/>
      <c r="I46" s="1076"/>
      <c r="J46" s="1076"/>
      <c r="K46" s="1140"/>
      <c r="L46" s="1140"/>
      <c r="M46" s="1076"/>
    </row>
    <row r="47" spans="2:13" ht="11.25" customHeight="1" x14ac:dyDescent="0.2">
      <c r="B47" s="1076" t="s">
        <v>1572</v>
      </c>
      <c r="G47" s="295"/>
      <c r="H47" s="295"/>
      <c r="I47" s="295"/>
      <c r="J47" s="295"/>
    </row>
    <row r="48" spans="2:13" ht="11.1" customHeight="1" x14ac:dyDescent="0.2">
      <c r="B48" s="1076"/>
      <c r="G48" s="295"/>
      <c r="H48" s="295"/>
      <c r="I48" s="295"/>
      <c r="J48" s="295"/>
    </row>
    <row r="49" spans="2:13" ht="11.1" customHeight="1" x14ac:dyDescent="0.2">
      <c r="B49" s="1076"/>
      <c r="G49" s="295"/>
      <c r="H49" s="295"/>
      <c r="I49" s="295"/>
      <c r="J49" s="295"/>
    </row>
    <row r="50" spans="2:13" ht="13.5" customHeight="1" x14ac:dyDescent="0.2">
      <c r="M50" s="1143"/>
    </row>
    <row r="51" spans="2:13" ht="13.5" customHeight="1" x14ac:dyDescent="0.2">
      <c r="M51" s="1143"/>
    </row>
    <row r="52" spans="2:13" ht="13.5" customHeight="1" x14ac:dyDescent="0.2">
      <c r="M52" s="1143"/>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22AB-30C5-4077-B3F1-8EAA40A4A9BD}">
  <dimension ref="B1:O160"/>
  <sheetViews>
    <sheetView showGridLines="0" view="pageBreakPreview" topLeftCell="A10" zoomScale="60" zoomScaleNormal="100" workbookViewId="0">
      <selection activeCell="H63" sqref="H6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Mt Zion CUSD 3</v>
      </c>
      <c r="C1" s="2567"/>
      <c r="D1" s="2567"/>
      <c r="E1" s="2567"/>
      <c r="F1" s="2567"/>
      <c r="G1" s="2567"/>
      <c r="H1" s="2567"/>
      <c r="I1" s="2567"/>
      <c r="J1" s="2567"/>
      <c r="K1" s="2567"/>
      <c r="L1" s="2567"/>
      <c r="M1" s="2567"/>
    </row>
    <row r="2" spans="2:14" ht="15" x14ac:dyDescent="0.2">
      <c r="B2" s="2568">
        <f>'Single Audit Cover'!E7</f>
        <v>39055003026</v>
      </c>
      <c r="C2" s="2568"/>
      <c r="D2" s="2568"/>
      <c r="E2" s="2568"/>
      <c r="F2" s="2568"/>
      <c r="G2" s="2568"/>
      <c r="H2" s="2568"/>
      <c r="I2" s="2568"/>
      <c r="J2" s="2568"/>
      <c r="K2" s="2568"/>
      <c r="L2" s="2568"/>
      <c r="M2" s="2568"/>
      <c r="N2" s="1078"/>
    </row>
    <row r="3" spans="2:14" ht="15" x14ac:dyDescent="0.2">
      <c r="B3" s="2569" t="s">
        <v>1210</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1256</v>
      </c>
      <c r="E6" s="1082" t="s">
        <v>524</v>
      </c>
      <c r="F6" s="1083"/>
      <c r="G6" s="1084" t="s">
        <v>1711</v>
      </c>
      <c r="H6" s="1082"/>
      <c r="I6" s="1082"/>
      <c r="J6" s="1916"/>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1568</v>
      </c>
      <c r="I9" s="1914"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2079</v>
      </c>
      <c r="C11" s="1821"/>
      <c r="D11" s="1822"/>
      <c r="E11" s="1823"/>
      <c r="F11" s="1823"/>
      <c r="G11" s="1823"/>
      <c r="H11" s="1823"/>
      <c r="I11" s="1823"/>
      <c r="J11" s="1823"/>
      <c r="K11" s="1823"/>
      <c r="L11" s="1823">
        <f>+G11+I11+K11</f>
        <v>0</v>
      </c>
      <c r="M11" s="1823"/>
    </row>
    <row r="12" spans="2:14" ht="20.100000000000001" customHeight="1" x14ac:dyDescent="0.2">
      <c r="B12" s="1113" t="s">
        <v>2069</v>
      </c>
      <c r="C12" s="1824"/>
      <c r="D12" s="1825"/>
      <c r="E12" s="1826"/>
      <c r="F12" s="1826"/>
      <c r="G12" s="1826"/>
      <c r="H12" s="1826"/>
      <c r="I12" s="1826"/>
      <c r="J12" s="1826"/>
      <c r="K12" s="1826"/>
      <c r="L12" s="1823">
        <f t="shared" ref="L12:L35" si="0">+G12+I12+K12</f>
        <v>0</v>
      </c>
      <c r="M12" s="1826"/>
    </row>
    <row r="13" spans="2:14" ht="20.100000000000001" customHeight="1" x14ac:dyDescent="0.2">
      <c r="B13" s="1113" t="s">
        <v>2080</v>
      </c>
      <c r="C13" s="1824" t="s">
        <v>2089</v>
      </c>
      <c r="D13" s="1825" t="s">
        <v>2110</v>
      </c>
      <c r="E13" s="1826"/>
      <c r="F13" s="1826">
        <f>220119-247</f>
        <v>219872</v>
      </c>
      <c r="G13" s="1826"/>
      <c r="H13" s="1826"/>
      <c r="I13" s="1826">
        <v>220119</v>
      </c>
      <c r="J13" s="1826"/>
      <c r="K13" s="1826"/>
      <c r="L13" s="1823">
        <f>+G13+I13+K13</f>
        <v>220119</v>
      </c>
      <c r="M13" s="1826">
        <v>220119</v>
      </c>
    </row>
    <row r="14" spans="2:14" ht="20.100000000000001" customHeight="1" x14ac:dyDescent="0.2">
      <c r="B14" s="1113"/>
      <c r="C14" s="1824"/>
      <c r="D14" s="1825" t="s">
        <v>2090</v>
      </c>
      <c r="E14" s="1826">
        <v>132124</v>
      </c>
      <c r="F14" s="1826">
        <v>101941</v>
      </c>
      <c r="G14" s="1826">
        <v>234065</v>
      </c>
      <c r="H14" s="1826"/>
      <c r="I14" s="1826"/>
      <c r="J14" s="1826"/>
      <c r="K14" s="1826"/>
      <c r="L14" s="1823">
        <f t="shared" si="0"/>
        <v>234065</v>
      </c>
      <c r="M14" s="1826">
        <v>234782</v>
      </c>
    </row>
    <row r="15" spans="2:14" ht="20.100000000000001" customHeight="1" x14ac:dyDescent="0.2">
      <c r="B15" s="1113" t="s">
        <v>2081</v>
      </c>
      <c r="C15" s="1824"/>
      <c r="D15" s="1825"/>
      <c r="E15" s="1826">
        <f>+E13+E14</f>
        <v>132124</v>
      </c>
      <c r="F15" s="1826">
        <f>F13+F14</f>
        <v>321813</v>
      </c>
      <c r="G15" s="1826">
        <f>+G13+G14</f>
        <v>234065</v>
      </c>
      <c r="H15" s="1826"/>
      <c r="I15" s="1826">
        <f>I13+I14</f>
        <v>220119</v>
      </c>
      <c r="J15" s="1826"/>
      <c r="K15" s="1826"/>
      <c r="L15" s="1823">
        <f t="shared" si="0"/>
        <v>454184</v>
      </c>
      <c r="M15" s="1826"/>
    </row>
    <row r="16" spans="2:14" ht="10.5" customHeight="1" x14ac:dyDescent="0.2">
      <c r="B16" s="1113"/>
      <c r="C16" s="1824"/>
      <c r="D16" s="1825"/>
      <c r="E16" s="1826"/>
      <c r="F16" s="1826"/>
      <c r="G16" s="1826"/>
      <c r="H16" s="1826"/>
      <c r="I16" s="1826"/>
      <c r="J16" s="1826"/>
      <c r="K16" s="1826"/>
      <c r="L16" s="1823">
        <f t="shared" si="0"/>
        <v>0</v>
      </c>
      <c r="M16" s="1826"/>
    </row>
    <row r="17" spans="2:15" ht="20.100000000000001" customHeight="1" x14ac:dyDescent="0.2">
      <c r="B17" s="1113" t="s">
        <v>2082</v>
      </c>
      <c r="C17" s="1824" t="s">
        <v>2091</v>
      </c>
      <c r="D17" s="1825" t="s">
        <v>2111</v>
      </c>
      <c r="E17" s="1826"/>
      <c r="F17" s="1826">
        <v>43671</v>
      </c>
      <c r="G17" s="1826"/>
      <c r="H17" s="1826"/>
      <c r="I17" s="1826">
        <v>47234</v>
      </c>
      <c r="J17" s="1826"/>
      <c r="K17" s="1826"/>
      <c r="L17" s="1823">
        <f t="shared" si="0"/>
        <v>47234</v>
      </c>
      <c r="M17" s="1826">
        <v>47234</v>
      </c>
    </row>
    <row r="18" spans="2:15" ht="20.100000000000001" customHeight="1" x14ac:dyDescent="0.2">
      <c r="B18" s="1113"/>
      <c r="C18" s="1824"/>
      <c r="D18" s="1825" t="s">
        <v>2092</v>
      </c>
      <c r="E18" s="1826">
        <v>52895</v>
      </c>
      <c r="F18" s="1826"/>
      <c r="G18" s="1826">
        <v>52895</v>
      </c>
      <c r="H18" s="1826"/>
      <c r="I18" s="1826"/>
      <c r="J18" s="1826"/>
      <c r="K18" s="1826"/>
      <c r="L18" s="1823">
        <f t="shared" si="0"/>
        <v>52895</v>
      </c>
      <c r="M18" s="1826">
        <v>52895</v>
      </c>
    </row>
    <row r="19" spans="2:15" ht="20.100000000000001" customHeight="1" x14ac:dyDescent="0.2">
      <c r="B19" s="1113" t="s">
        <v>2083</v>
      </c>
      <c r="C19" s="1824"/>
      <c r="D19" s="1825"/>
      <c r="E19" s="1826">
        <f>+E17+E18</f>
        <v>52895</v>
      </c>
      <c r="F19" s="1826">
        <f>F17+F18</f>
        <v>43671</v>
      </c>
      <c r="G19" s="1826">
        <f>+G18+G17</f>
        <v>52895</v>
      </c>
      <c r="H19" s="1826"/>
      <c r="I19" s="1826">
        <f>I17+I18</f>
        <v>47234</v>
      </c>
      <c r="J19" s="1826"/>
      <c r="K19" s="1826"/>
      <c r="L19" s="1823">
        <f t="shared" si="0"/>
        <v>100129</v>
      </c>
      <c r="M19" s="1826"/>
    </row>
    <row r="20" spans="2:15" ht="10.5" customHeight="1" x14ac:dyDescent="0.2">
      <c r="B20" s="1113"/>
      <c r="C20" s="1824"/>
      <c r="D20" s="1825"/>
      <c r="E20" s="1826"/>
      <c r="F20" s="1826"/>
      <c r="G20" s="1826"/>
      <c r="H20" s="1826"/>
      <c r="I20" s="1826"/>
      <c r="J20" s="1826"/>
      <c r="K20" s="1826"/>
      <c r="L20" s="1823">
        <f t="shared" si="0"/>
        <v>0</v>
      </c>
      <c r="M20" s="1826"/>
    </row>
    <row r="21" spans="2:15" ht="20.100000000000001" customHeight="1" x14ac:dyDescent="0.2">
      <c r="B21" s="1113" t="s">
        <v>2084</v>
      </c>
      <c r="C21" s="1824" t="s">
        <v>2093</v>
      </c>
      <c r="D21" s="1825" t="s">
        <v>2112</v>
      </c>
      <c r="E21" s="1826"/>
      <c r="F21" s="1826">
        <v>16626</v>
      </c>
      <c r="G21" s="1826"/>
      <c r="H21" s="1826"/>
      <c r="I21" s="1826">
        <v>16626</v>
      </c>
      <c r="J21" s="1826"/>
      <c r="K21" s="1826"/>
      <c r="L21" s="1823">
        <f t="shared" si="0"/>
        <v>16626</v>
      </c>
      <c r="M21" s="1826">
        <v>16626</v>
      </c>
    </row>
    <row r="22" spans="2:15" ht="20.100000000000001" customHeight="1" x14ac:dyDescent="0.2">
      <c r="B22" s="1113"/>
      <c r="C22" s="1824"/>
      <c r="D22" s="1825" t="s">
        <v>2094</v>
      </c>
      <c r="E22" s="1826">
        <v>23878</v>
      </c>
      <c r="F22" s="1826"/>
      <c r="G22" s="1826">
        <v>23878</v>
      </c>
      <c r="H22" s="1826"/>
      <c r="I22" s="1826"/>
      <c r="J22" s="1826"/>
      <c r="K22" s="1826"/>
      <c r="L22" s="1823">
        <f t="shared" si="0"/>
        <v>23878</v>
      </c>
      <c r="M22" s="1826">
        <v>23878</v>
      </c>
    </row>
    <row r="23" spans="2:15" ht="20.100000000000001" customHeight="1" x14ac:dyDescent="0.2">
      <c r="B23" s="1113" t="s">
        <v>2085</v>
      </c>
      <c r="C23" s="1824"/>
      <c r="D23" s="1825"/>
      <c r="E23" s="1826">
        <f>+E21+E22</f>
        <v>23878</v>
      </c>
      <c r="F23" s="1826">
        <f>F21+F22</f>
        <v>16626</v>
      </c>
      <c r="G23" s="1826">
        <f>+G21+G22</f>
        <v>23878</v>
      </c>
      <c r="H23" s="1826"/>
      <c r="I23" s="1826">
        <f>I21+I22</f>
        <v>16626</v>
      </c>
      <c r="J23" s="1826"/>
      <c r="K23" s="1826"/>
      <c r="L23" s="1823">
        <f t="shared" si="0"/>
        <v>40504</v>
      </c>
      <c r="M23" s="1826"/>
    </row>
    <row r="24" spans="2:15" ht="10.5" customHeight="1" x14ac:dyDescent="0.2">
      <c r="B24" s="1113"/>
      <c r="C24" s="1824"/>
      <c r="D24" s="1825"/>
      <c r="E24" s="1826"/>
      <c r="F24" s="1826"/>
      <c r="G24" s="1826"/>
      <c r="H24" s="1826"/>
      <c r="I24" s="1826"/>
      <c r="J24" s="1826"/>
      <c r="K24" s="1826"/>
      <c r="L24" s="1823">
        <f t="shared" ref="L24:L31" si="1">+G24+I24+K24</f>
        <v>0</v>
      </c>
      <c r="M24" s="1826"/>
    </row>
    <row r="25" spans="2:15" ht="20.100000000000001" customHeight="1" x14ac:dyDescent="0.2">
      <c r="B25" s="1113" t="s">
        <v>2086</v>
      </c>
      <c r="C25" s="1824" t="s">
        <v>2095</v>
      </c>
      <c r="D25" s="1825" t="s">
        <v>2113</v>
      </c>
      <c r="E25" s="1826"/>
      <c r="F25" s="1826">
        <v>503160</v>
      </c>
      <c r="G25" s="1826"/>
      <c r="H25" s="1826"/>
      <c r="I25" s="1826">
        <v>515260</v>
      </c>
      <c r="J25" s="1826"/>
      <c r="K25" s="1826"/>
      <c r="L25" s="1823">
        <f t="shared" si="1"/>
        <v>515260</v>
      </c>
      <c r="M25" s="1826">
        <v>515260</v>
      </c>
    </row>
    <row r="26" spans="2:15" ht="20.100000000000001" customHeight="1" x14ac:dyDescent="0.2">
      <c r="B26" s="1113"/>
      <c r="C26" s="1824"/>
      <c r="D26" s="1825" t="s">
        <v>2096</v>
      </c>
      <c r="E26" s="1826">
        <v>395029</v>
      </c>
      <c r="F26" s="2035"/>
      <c r="G26" s="1826">
        <v>415884</v>
      </c>
      <c r="H26" s="1826"/>
      <c r="I26" s="1826"/>
      <c r="J26" s="1826"/>
      <c r="K26" s="1826"/>
      <c r="L26" s="1823">
        <f t="shared" si="1"/>
        <v>415884</v>
      </c>
      <c r="M26" s="1826">
        <v>415884</v>
      </c>
      <c r="O26" s="295" t="s">
        <v>2122</v>
      </c>
    </row>
    <row r="27" spans="2:15" ht="20.100000000000001" customHeight="1" x14ac:dyDescent="0.2">
      <c r="B27" s="1113" t="s">
        <v>2087</v>
      </c>
      <c r="C27" s="1824"/>
      <c r="D27" s="1825"/>
      <c r="E27" s="1826">
        <f>+E25+E26</f>
        <v>395029</v>
      </c>
      <c r="F27" s="1826">
        <f>F25+F26</f>
        <v>503160</v>
      </c>
      <c r="G27" s="1826">
        <f>+G26+G25</f>
        <v>415884</v>
      </c>
      <c r="H27" s="1826"/>
      <c r="I27" s="1826">
        <f>I25+I26</f>
        <v>515260</v>
      </c>
      <c r="J27" s="1826"/>
      <c r="K27" s="1826"/>
      <c r="L27" s="1823">
        <f t="shared" si="1"/>
        <v>931144</v>
      </c>
      <c r="M27" s="1826"/>
    </row>
    <row r="28" spans="2:15" ht="10.5" customHeight="1" x14ac:dyDescent="0.2">
      <c r="B28" s="1113"/>
      <c r="C28" s="1824"/>
      <c r="D28" s="1825"/>
      <c r="E28" s="1826"/>
      <c r="F28" s="1826"/>
      <c r="G28" s="1826"/>
      <c r="H28" s="1826"/>
      <c r="I28" s="1826"/>
      <c r="J28" s="1826"/>
      <c r="K28" s="1826"/>
      <c r="L28" s="1823"/>
      <c r="M28" s="1826"/>
    </row>
    <row r="29" spans="2:15" ht="20.100000000000001" customHeight="1" x14ac:dyDescent="0.2">
      <c r="B29" s="1113" t="s">
        <v>2115</v>
      </c>
      <c r="C29" s="1824" t="s">
        <v>2114</v>
      </c>
      <c r="D29" s="1825" t="s">
        <v>2116</v>
      </c>
      <c r="E29" s="1826"/>
      <c r="F29" s="1826">
        <v>16327</v>
      </c>
      <c r="G29" s="1826"/>
      <c r="H29" s="1826"/>
      <c r="I29" s="1826">
        <v>16327</v>
      </c>
      <c r="J29" s="1826"/>
      <c r="K29" s="1826"/>
      <c r="L29" s="1823">
        <f>G29+I29+K29</f>
        <v>16327</v>
      </c>
      <c r="M29" s="1826">
        <v>16327</v>
      </c>
    </row>
    <row r="30" spans="2:15" ht="20.100000000000001" customHeight="1" x14ac:dyDescent="0.2">
      <c r="B30" s="1113"/>
      <c r="C30" s="1824"/>
      <c r="D30" s="1825"/>
      <c r="E30" s="1826"/>
      <c r="F30" s="1826"/>
      <c r="G30" s="1826"/>
      <c r="H30" s="1826"/>
      <c r="I30" s="1826"/>
      <c r="J30" s="1826"/>
      <c r="K30" s="1826"/>
      <c r="L30" s="1823"/>
      <c r="M30" s="1826"/>
    </row>
    <row r="31" spans="2:15" ht="20.100000000000001" customHeight="1" x14ac:dyDescent="0.2">
      <c r="B31" s="1113" t="s">
        <v>2117</v>
      </c>
      <c r="C31" s="1824"/>
      <c r="D31" s="1825"/>
      <c r="E31" s="1826">
        <f>E27+E29</f>
        <v>395029</v>
      </c>
      <c r="F31" s="1826">
        <f>F27+F29</f>
        <v>519487</v>
      </c>
      <c r="G31" s="2035">
        <f>G27+G29</f>
        <v>415884</v>
      </c>
      <c r="H31" s="2035"/>
      <c r="I31" s="2035">
        <f>I27+I29</f>
        <v>531587</v>
      </c>
      <c r="J31" s="2035"/>
      <c r="K31" s="2035"/>
      <c r="L31" s="1823">
        <f t="shared" si="1"/>
        <v>947471</v>
      </c>
      <c r="M31" s="1826"/>
    </row>
    <row r="32" spans="2:15" ht="10.5" customHeight="1" x14ac:dyDescent="0.2">
      <c r="B32" s="1113"/>
      <c r="C32" s="1824"/>
      <c r="D32" s="1825"/>
      <c r="E32" s="1826"/>
      <c r="F32" s="1826"/>
      <c r="G32" s="2035"/>
      <c r="H32" s="2035"/>
      <c r="I32" s="2035"/>
      <c r="J32" s="2035"/>
      <c r="K32" s="2035"/>
      <c r="L32" s="1823"/>
      <c r="M32" s="1826"/>
    </row>
    <row r="33" spans="2:14" ht="20.100000000000001" customHeight="1" x14ac:dyDescent="0.2">
      <c r="B33" s="1113" t="s">
        <v>2119</v>
      </c>
      <c r="C33" s="1824" t="s">
        <v>2120</v>
      </c>
      <c r="D33" s="1825" t="s">
        <v>2121</v>
      </c>
      <c r="E33" s="1826"/>
      <c r="F33" s="1826"/>
      <c r="G33" s="2035"/>
      <c r="H33" s="2035"/>
      <c r="I33" s="2035">
        <v>183142</v>
      </c>
      <c r="J33" s="2035"/>
      <c r="K33" s="2035"/>
      <c r="L33" s="1823">
        <f>G33+I33+K33</f>
        <v>183142</v>
      </c>
      <c r="M33" s="1826">
        <v>183142</v>
      </c>
    </row>
    <row r="34" spans="2:14" ht="10.5" customHeight="1" x14ac:dyDescent="0.2">
      <c r="B34" s="1113"/>
      <c r="C34" s="1824"/>
      <c r="D34" s="1825"/>
      <c r="E34" s="1826"/>
      <c r="F34" s="1826"/>
      <c r="G34" s="2035"/>
      <c r="H34" s="2035"/>
      <c r="I34" s="2035"/>
      <c r="J34" s="2035"/>
      <c r="K34" s="2035"/>
      <c r="L34" s="1823"/>
      <c r="M34" s="1826"/>
    </row>
    <row r="35" spans="2:14" ht="20.100000000000001" customHeight="1" x14ac:dyDescent="0.2">
      <c r="B35" s="1113" t="s">
        <v>2088</v>
      </c>
      <c r="C35" s="1824"/>
      <c r="D35" s="1825"/>
      <c r="E35" s="1826">
        <f>+E27+E23+E19+E15</f>
        <v>603926</v>
      </c>
      <c r="F35" s="1826">
        <f>F31+F23+F19+F15</f>
        <v>901597</v>
      </c>
      <c r="G35" s="1826">
        <f>+G15+G19+G23+G27</f>
        <v>726722</v>
      </c>
      <c r="H35" s="1826"/>
      <c r="I35" s="1826">
        <f>I31+I23+I19+I15+I33</f>
        <v>998708</v>
      </c>
      <c r="J35" s="1826"/>
      <c r="K35" s="1826"/>
      <c r="L35" s="1823">
        <f t="shared" si="0"/>
        <v>1725430</v>
      </c>
      <c r="M35" s="1826"/>
    </row>
    <row r="36" spans="2:14" ht="12.75" customHeight="1" x14ac:dyDescent="0.2">
      <c r="B36" s="1115"/>
      <c r="C36" s="1116"/>
      <c r="D36" s="1117"/>
      <c r="E36" s="1118"/>
      <c r="F36" s="1118"/>
      <c r="G36" s="1118"/>
      <c r="H36" s="1118"/>
      <c r="I36" s="1118"/>
      <c r="J36" s="1118"/>
      <c r="K36" s="1118"/>
      <c r="L36" s="1118"/>
      <c r="M36" s="1118"/>
      <c r="N36" s="1114"/>
    </row>
    <row r="37" spans="2:14" x14ac:dyDescent="0.2">
      <c r="B37" s="1033"/>
      <c r="C37" s="1119"/>
      <c r="D37" s="1120"/>
      <c r="E37" s="1033"/>
      <c r="F37" s="1033"/>
      <c r="G37" s="1026"/>
      <c r="H37" s="1026"/>
      <c r="I37" s="1026"/>
      <c r="J37" s="1026"/>
      <c r="K37" s="1026"/>
      <c r="L37" s="1026"/>
      <c r="M37" s="1033"/>
      <c r="N37" s="1114"/>
    </row>
    <row r="38" spans="2:14" ht="13.5" customHeight="1" x14ac:dyDescent="0.2">
      <c r="B38" s="1058" t="s">
        <v>1714</v>
      </c>
      <c r="C38" s="1119"/>
      <c r="D38" s="1120"/>
      <c r="E38" s="1033"/>
      <c r="F38" s="1033"/>
      <c r="G38" s="1026"/>
      <c r="H38" s="1026"/>
      <c r="I38" s="1026"/>
      <c r="J38" s="1026"/>
      <c r="K38" s="1026"/>
      <c r="L38" s="1026"/>
      <c r="M38" s="1033"/>
      <c r="N38" s="1114"/>
    </row>
    <row r="39" spans="2:14" ht="8.25" customHeight="1" x14ac:dyDescent="0.2">
      <c r="B39" s="1058"/>
      <c r="C39" s="1119"/>
      <c r="D39" s="1120"/>
      <c r="E39" s="1033"/>
      <c r="F39" s="1033"/>
      <c r="G39" s="1026"/>
      <c r="H39" s="1026"/>
      <c r="I39" s="1026"/>
      <c r="J39" s="1026"/>
      <c r="K39" s="1026"/>
      <c r="L39" s="1026"/>
      <c r="M39" s="1033"/>
      <c r="N39" s="1114"/>
    </row>
    <row r="40" spans="2:14" x14ac:dyDescent="0.2">
      <c r="B40" s="1121" t="s">
        <v>1812</v>
      </c>
      <c r="C40" s="1122"/>
      <c r="D40" s="1123"/>
      <c r="E40" s="1124"/>
      <c r="F40" s="1124"/>
      <c r="G40" s="1124"/>
      <c r="H40" s="1124"/>
      <c r="I40" s="295"/>
      <c r="J40" s="295"/>
    </row>
    <row r="41" spans="2:14" x14ac:dyDescent="0.2">
      <c r="B41" s="1053"/>
      <c r="C41" s="1125"/>
      <c r="D41" s="1126"/>
      <c r="E41" s="1054"/>
      <c r="F41" s="1054"/>
      <c r="G41" s="295"/>
      <c r="H41" s="295"/>
      <c r="I41" s="295"/>
      <c r="J41" s="295"/>
    </row>
    <row r="42" spans="2:14" ht="13.5" customHeight="1" x14ac:dyDescent="0.2">
      <c r="B42" s="1052" t="s">
        <v>1237</v>
      </c>
      <c r="G42" s="295"/>
      <c r="H42" s="295"/>
      <c r="I42" s="295"/>
      <c r="J42" s="295"/>
    </row>
    <row r="43" spans="2:14" ht="13.5" customHeight="1" x14ac:dyDescent="0.2">
      <c r="B43" s="1129"/>
      <c r="C43" s="1130"/>
      <c r="D43" s="1131"/>
      <c r="E43" s="1073"/>
      <c r="F43" s="1073"/>
      <c r="G43" s="1073"/>
      <c r="H43" s="1073"/>
      <c r="I43" s="1073"/>
      <c r="J43" s="1073"/>
      <c r="K43" s="1132"/>
      <c r="L43" s="1132"/>
      <c r="M43" s="1073"/>
    </row>
    <row r="44" spans="2:14" ht="9.6" customHeight="1" x14ac:dyDescent="0.2">
      <c r="B44" s="1133"/>
      <c r="G44" s="295"/>
      <c r="H44" s="295"/>
      <c r="I44" s="295"/>
      <c r="J44" s="295"/>
    </row>
    <row r="45" spans="2:14" ht="11.25" customHeight="1" x14ac:dyDescent="0.2">
      <c r="B45" s="1134" t="s">
        <v>1715</v>
      </c>
      <c r="C45" s="1135"/>
      <c r="D45" s="1135"/>
      <c r="E45" s="1135"/>
      <c r="F45" s="1135"/>
      <c r="G45" s="1135"/>
      <c r="H45" s="1135"/>
      <c r="I45" s="1136"/>
      <c r="J45" s="1136"/>
      <c r="K45" s="1136"/>
      <c r="L45" s="1136"/>
      <c r="M45" s="1136"/>
    </row>
    <row r="46" spans="2:14" ht="11.25" customHeight="1" x14ac:dyDescent="0.2">
      <c r="B46" s="1137" t="s">
        <v>1570</v>
      </c>
      <c r="C46" s="1136"/>
      <c r="D46" s="1136"/>
      <c r="E46" s="1136"/>
      <c r="F46" s="1136"/>
      <c r="G46" s="1136"/>
      <c r="H46" s="1136"/>
      <c r="I46" s="1136"/>
      <c r="J46" s="1136"/>
      <c r="K46" s="1136"/>
      <c r="L46" s="1136"/>
      <c r="M46" s="1136"/>
    </row>
    <row r="47" spans="2:14" ht="3.95" customHeight="1" x14ac:dyDescent="0.2">
      <c r="B47" s="1137"/>
      <c r="C47" s="1136"/>
      <c r="D47" s="1136"/>
      <c r="E47" s="1136"/>
      <c r="F47" s="1136"/>
      <c r="G47" s="1136"/>
      <c r="H47" s="1136"/>
      <c r="I47" s="1136"/>
      <c r="J47" s="1136"/>
      <c r="K47" s="1136"/>
      <c r="L47" s="1136"/>
      <c r="M47" s="1136"/>
    </row>
    <row r="48" spans="2:14" ht="11.25" customHeight="1" x14ac:dyDescent="0.2">
      <c r="B48" s="1134" t="s">
        <v>1716</v>
      </c>
      <c r="C48" s="1136"/>
      <c r="D48" s="1136"/>
      <c r="E48" s="1136"/>
      <c r="F48" s="1136"/>
      <c r="G48" s="1136"/>
      <c r="H48" s="1136"/>
      <c r="I48" s="1136"/>
      <c r="J48" s="1136"/>
      <c r="K48" s="1136"/>
      <c r="L48" s="1136"/>
      <c r="M48" s="1136"/>
    </row>
    <row r="49" spans="2:13" ht="11.25" customHeight="1" x14ac:dyDescent="0.2">
      <c r="B49" s="1076" t="s">
        <v>1571</v>
      </c>
      <c r="C49" s="1138"/>
      <c r="D49" s="1139"/>
      <c r="E49" s="1076"/>
      <c r="F49" s="1076"/>
      <c r="G49" s="1076"/>
      <c r="H49" s="1076"/>
      <c r="I49" s="1076"/>
      <c r="J49" s="1076"/>
      <c r="K49" s="1140"/>
      <c r="L49" s="1140"/>
      <c r="M49" s="1076"/>
    </row>
    <row r="50" spans="2:13" ht="3.95" customHeight="1" x14ac:dyDescent="0.2">
      <c r="B50" s="1076"/>
      <c r="C50" s="1138"/>
      <c r="D50" s="1139"/>
      <c r="E50" s="1076"/>
      <c r="F50" s="1076"/>
      <c r="G50" s="1076"/>
      <c r="H50" s="1076"/>
      <c r="I50" s="1076"/>
      <c r="J50" s="1076"/>
      <c r="K50" s="1140"/>
      <c r="L50" s="1140"/>
      <c r="M50" s="1076"/>
    </row>
    <row r="51" spans="2:13" ht="11.25" customHeight="1" x14ac:dyDescent="0.2">
      <c r="B51" s="1141" t="s">
        <v>1717</v>
      </c>
      <c r="C51" s="1138"/>
      <c r="D51" s="1139"/>
      <c r="E51" s="1076"/>
      <c r="F51" s="1076"/>
      <c r="G51" s="1076"/>
      <c r="H51" s="1076"/>
      <c r="I51" s="1076"/>
      <c r="J51" s="1076"/>
      <c r="K51" s="1140"/>
      <c r="L51" s="1140"/>
      <c r="M51" s="1076"/>
    </row>
    <row r="52" spans="2:13" ht="3.95" customHeight="1" x14ac:dyDescent="0.2">
      <c r="B52" s="1141"/>
      <c r="C52" s="1138"/>
      <c r="D52" s="1139"/>
      <c r="E52" s="1076"/>
      <c r="F52" s="1076"/>
      <c r="G52" s="1076"/>
      <c r="H52" s="1076"/>
      <c r="I52" s="1076"/>
      <c r="J52" s="1076"/>
      <c r="K52" s="1140"/>
      <c r="L52" s="1140"/>
      <c r="M52" s="1076"/>
    </row>
    <row r="53" spans="2:13" ht="11.25" customHeight="1" x14ac:dyDescent="0.2">
      <c r="B53" s="1142" t="s">
        <v>1718</v>
      </c>
      <c r="C53" s="1138"/>
      <c r="D53" s="1139"/>
      <c r="E53" s="1076"/>
      <c r="F53" s="1076"/>
      <c r="G53" s="1076"/>
      <c r="H53" s="1076"/>
      <c r="I53" s="1076"/>
      <c r="J53" s="1076"/>
      <c r="K53" s="1140"/>
      <c r="L53" s="1140"/>
      <c r="M53" s="1076"/>
    </row>
    <row r="54" spans="2:13" ht="11.25" customHeight="1" x14ac:dyDescent="0.2">
      <c r="B54" s="1076" t="s">
        <v>1572</v>
      </c>
      <c r="G54" s="295"/>
      <c r="H54" s="295"/>
      <c r="I54" s="295"/>
      <c r="J54" s="295"/>
    </row>
    <row r="55" spans="2:13" ht="11.1" customHeight="1" x14ac:dyDescent="0.2">
      <c r="B55" s="1076"/>
      <c r="G55" s="295"/>
      <c r="H55" s="295"/>
      <c r="I55" s="295"/>
      <c r="J55" s="295"/>
    </row>
    <row r="56" spans="2:13" ht="11.1" customHeight="1" x14ac:dyDescent="0.2">
      <c r="B56" s="1076"/>
      <c r="G56" s="295"/>
      <c r="H56" s="295"/>
      <c r="I56" s="295"/>
      <c r="J56" s="295"/>
    </row>
    <row r="57" spans="2:13" ht="13.5" customHeight="1" x14ac:dyDescent="0.2">
      <c r="M57" s="1143"/>
    </row>
    <row r="58" spans="2:13" ht="13.5" customHeight="1" x14ac:dyDescent="0.2">
      <c r="M58" s="1143"/>
    </row>
    <row r="59" spans="2:13" ht="13.5" customHeight="1" x14ac:dyDescent="0.2">
      <c r="M59" s="1143"/>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c r="G63" s="295"/>
      <c r="H63" s="295"/>
      <c r="I63" s="295"/>
      <c r="J63" s="295"/>
    </row>
    <row r="64" spans="2:13" ht="13.5" customHeight="1" x14ac:dyDescent="0.2">
      <c r="G64" s="295"/>
      <c r="H64" s="295"/>
      <c r="I64" s="295"/>
      <c r="J64" s="295"/>
    </row>
    <row r="65" spans="7:10" ht="13.5" customHeight="1" x14ac:dyDescent="0.2">
      <c r="G65" s="295"/>
      <c r="H65" s="295"/>
      <c r="I65" s="295"/>
      <c r="J65" s="295"/>
    </row>
    <row r="66" spans="7:10" ht="13.5" customHeight="1" x14ac:dyDescent="0.2">
      <c r="G66" s="295"/>
      <c r="H66" s="295"/>
      <c r="I66" s="295"/>
      <c r="J66" s="295"/>
    </row>
    <row r="67" spans="7:10" ht="13.5" customHeight="1" x14ac:dyDescent="0.2"/>
    <row r="68" spans="7:10" ht="13.5" customHeight="1" x14ac:dyDescent="0.2"/>
    <row r="69" spans="7:10" ht="13.5" customHeight="1" x14ac:dyDescent="0.2"/>
    <row r="70" spans="7:10" ht="25.5" customHeight="1" x14ac:dyDescent="0.2"/>
    <row r="71" spans="7:10" ht="25.5" customHeight="1" x14ac:dyDescent="0.2"/>
    <row r="72" spans="7:10" ht="25.5" customHeight="1" x14ac:dyDescent="0.2"/>
    <row r="73" spans="7:10" ht="25.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4.7" customHeight="1" x14ac:dyDescent="0.2"/>
    <row r="120" ht="12.2"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4.7" customHeight="1" x14ac:dyDescent="0.2"/>
    <row r="160" ht="12.2" customHeight="1" x14ac:dyDescent="0.2"/>
  </sheetData>
  <mergeCells count="4">
    <mergeCell ref="B1:M1"/>
    <mergeCell ref="B2:M2"/>
    <mergeCell ref="B3:M3"/>
    <mergeCell ref="B4:M4"/>
  </mergeCells>
  <pageMargins left="0.09" right="0" top="0.5" bottom="0.5" header="0.25" footer="0.25"/>
  <pageSetup scale="71"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5408-014E-460E-82DC-74A7D8562EEE}">
  <sheetPr>
    <pageSetUpPr fitToPage="1"/>
  </sheetPr>
  <dimension ref="B1:N152"/>
  <sheetViews>
    <sheetView showGridLines="0" topLeftCell="D1" zoomScaleNormal="100" workbookViewId="0">
      <selection activeCell="M18" sqref="M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Mt Zion CUSD 3</v>
      </c>
      <c r="C1" s="2567"/>
      <c r="D1" s="2567"/>
      <c r="E1" s="2567"/>
      <c r="F1" s="2567"/>
      <c r="G1" s="2567"/>
      <c r="H1" s="2567"/>
      <c r="I1" s="2567"/>
      <c r="J1" s="2567"/>
      <c r="K1" s="2567"/>
      <c r="L1" s="2567"/>
      <c r="M1" s="2567"/>
    </row>
    <row r="2" spans="2:14" ht="15" x14ac:dyDescent="0.2">
      <c r="B2" s="2568">
        <f>'Single Audit Cover'!E7</f>
        <v>39055003026</v>
      </c>
      <c r="C2" s="2568"/>
      <c r="D2" s="2568"/>
      <c r="E2" s="2568"/>
      <c r="F2" s="2568"/>
      <c r="G2" s="2568"/>
      <c r="H2" s="2568"/>
      <c r="I2" s="2568"/>
      <c r="J2" s="2568"/>
      <c r="K2" s="2568"/>
      <c r="L2" s="2568"/>
      <c r="M2" s="2568"/>
      <c r="N2" s="1078"/>
    </row>
    <row r="3" spans="2:14" ht="15" x14ac:dyDescent="0.2">
      <c r="B3" s="2569" t="s">
        <v>1210</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1256</v>
      </c>
      <c r="E6" s="1082" t="s">
        <v>524</v>
      </c>
      <c r="F6" s="1083"/>
      <c r="G6" s="1084" t="s">
        <v>1711</v>
      </c>
      <c r="H6" s="1082"/>
      <c r="I6" s="1082"/>
      <c r="J6" s="1916"/>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1568</v>
      </c>
      <c r="I9" s="1914"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2097</v>
      </c>
      <c r="C11" s="1821"/>
      <c r="D11" s="1822"/>
      <c r="E11" s="1823"/>
      <c r="F11" s="1823"/>
      <c r="G11" s="1823"/>
      <c r="H11" s="1823"/>
      <c r="I11" s="1823"/>
      <c r="J11" s="1823"/>
      <c r="K11" s="1823"/>
      <c r="L11" s="1823">
        <f>+G11+I11+K11</f>
        <v>0</v>
      </c>
      <c r="M11" s="1823"/>
    </row>
    <row r="12" spans="2:14" ht="20.100000000000001" customHeight="1" x14ac:dyDescent="0.2">
      <c r="B12" s="1113" t="s">
        <v>2098</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+G13+I13+K13</f>
        <v>0</v>
      </c>
      <c r="M13" s="1826"/>
    </row>
    <row r="14" spans="2:14" ht="20.100000000000001" customHeight="1" x14ac:dyDescent="0.2">
      <c r="B14" s="1113" t="s">
        <v>2099</v>
      </c>
      <c r="C14" s="1824">
        <v>93.778000000000006</v>
      </c>
      <c r="D14" s="1825" t="s">
        <v>2118</v>
      </c>
      <c r="E14" s="1826"/>
      <c r="F14" s="2035">
        <v>49522</v>
      </c>
      <c r="G14" s="1826"/>
      <c r="H14" s="1826"/>
      <c r="I14" s="2035">
        <v>49522</v>
      </c>
      <c r="J14" s="1826"/>
      <c r="K14" s="1826"/>
      <c r="L14" s="1823">
        <f t="shared" si="0"/>
        <v>49522</v>
      </c>
      <c r="M14" s="2035">
        <v>50000</v>
      </c>
    </row>
    <row r="15" spans="2:14" ht="20.100000000000001" customHeight="1" x14ac:dyDescent="0.2">
      <c r="B15" s="1113"/>
      <c r="C15" s="1824"/>
      <c r="D15" s="1825" t="s">
        <v>2102</v>
      </c>
      <c r="E15" s="1826">
        <v>14263</v>
      </c>
      <c r="F15" s="1826"/>
      <c r="G15" s="1826">
        <v>14263</v>
      </c>
      <c r="H15" s="1826"/>
      <c r="I15" s="1826"/>
      <c r="J15" s="1826"/>
      <c r="K15" s="1826"/>
      <c r="L15" s="1823">
        <f t="shared" si="0"/>
        <v>14263</v>
      </c>
      <c r="M15" s="1826">
        <v>14263</v>
      </c>
    </row>
    <row r="16" spans="2:14" ht="20.100000000000001" customHeight="1" x14ac:dyDescent="0.2">
      <c r="B16" s="1113" t="s">
        <v>2100</v>
      </c>
      <c r="C16" s="1824"/>
      <c r="D16" s="1825"/>
      <c r="E16" s="1826">
        <f>+E14+E15</f>
        <v>14263</v>
      </c>
      <c r="F16" s="1826">
        <f>F14+F15</f>
        <v>49522</v>
      </c>
      <c r="G16" s="1826">
        <f>+G14+G15</f>
        <v>14263</v>
      </c>
      <c r="H16" s="1826"/>
      <c r="I16" s="1826">
        <f>I14+I15</f>
        <v>49522</v>
      </c>
      <c r="J16" s="1826"/>
      <c r="K16" s="1826"/>
      <c r="L16" s="1823">
        <f t="shared" si="0"/>
        <v>63785</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t="s">
        <v>2101</v>
      </c>
      <c r="C18" s="1824"/>
      <c r="D18" s="1825"/>
      <c r="E18" s="1826">
        <f>E16+' SEFA'!E27+' SEFA (2)'!E35</f>
        <v>854945</v>
      </c>
      <c r="F18" s="1826">
        <f>F16+' SEFA (2)'!F35+' SEFA'!F27</f>
        <v>1194176</v>
      </c>
      <c r="G18" s="1826">
        <f>+G16+' SEFA (2)'!G35+' SEFA'!G27</f>
        <v>977742</v>
      </c>
      <c r="H18" s="1826"/>
      <c r="I18" s="1826">
        <f>I16+' SEFA (2)'!I35+' SEFA'!I27</f>
        <v>1291287</v>
      </c>
      <c r="J18" s="1826"/>
      <c r="K18" s="1826"/>
      <c r="L18" s="1823">
        <f t="shared" si="0"/>
        <v>2269029</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Mt Zion CUSD 3</v>
      </c>
      <c r="B1" s="2580"/>
      <c r="C1" s="2580"/>
      <c r="D1" s="2580"/>
      <c r="E1" s="2580"/>
      <c r="F1" s="2580"/>
    </row>
    <row r="2" spans="1:7" ht="13.5" customHeight="1" x14ac:dyDescent="0.2">
      <c r="A2" s="2568">
        <f>'Single Audit Cover'!E7</f>
        <v>39055003026</v>
      </c>
      <c r="B2" s="2568"/>
      <c r="C2" s="2568"/>
      <c r="D2" s="2568"/>
      <c r="E2" s="2568"/>
      <c r="F2" s="2568"/>
      <c r="G2" s="1051"/>
    </row>
    <row r="3" spans="1:7" ht="15.75" customHeight="1" x14ac:dyDescent="0.2">
      <c r="A3" s="2581" t="s">
        <v>1262</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1708</v>
      </c>
      <c r="C6" s="295"/>
      <c r="D6" s="295"/>
    </row>
    <row r="7" spans="1:7" ht="60.95" customHeight="1" x14ac:dyDescent="0.2">
      <c r="A7" s="2579" t="s">
        <v>2139</v>
      </c>
      <c r="B7" s="2579"/>
      <c r="C7" s="2579"/>
      <c r="D7" s="2579"/>
      <c r="E7" s="2579"/>
      <c r="F7" s="2579"/>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1533</v>
      </c>
      <c r="B10" s="1056"/>
      <c r="C10" s="1057"/>
      <c r="D10" s="1056" t="s">
        <v>1534</v>
      </c>
      <c r="E10" s="1057" t="s">
        <v>2048</v>
      </c>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23.25" customHeight="1" x14ac:dyDescent="0.2">
      <c r="A13" s="2579" t="s">
        <v>2144</v>
      </c>
      <c r="B13" s="2579"/>
      <c r="C13" s="2579"/>
      <c r="D13" s="2579"/>
      <c r="E13" s="2579"/>
      <c r="F13" s="2579"/>
    </row>
    <row r="14" spans="1:7" ht="9.75" customHeight="1" x14ac:dyDescent="0.2">
      <c r="C14" s="1036"/>
      <c r="D14" s="1036"/>
    </row>
    <row r="15" spans="1:7" ht="13.5" customHeight="1" x14ac:dyDescent="0.2">
      <c r="C15" s="1476" t="s">
        <v>1261</v>
      </c>
      <c r="D15" s="2577" t="s">
        <v>1260</v>
      </c>
      <c r="E15" s="2577"/>
      <c r="F15" s="2577"/>
    </row>
    <row r="16" spans="1:7" ht="13.5" customHeight="1" x14ac:dyDescent="0.2">
      <c r="A16" s="1058"/>
      <c r="B16" s="1052" t="s">
        <v>1259</v>
      </c>
      <c r="C16" s="1476" t="s">
        <v>1258</v>
      </c>
      <c r="D16" s="2578" t="s">
        <v>1574</v>
      </c>
      <c r="E16" s="2578"/>
      <c r="F16" s="2578"/>
    </row>
    <row r="17" spans="1:6" ht="20.45" customHeight="1" x14ac:dyDescent="0.2">
      <c r="A17" s="1059"/>
      <c r="B17" s="1060" t="s">
        <v>2103</v>
      </c>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3" t="s">
        <v>2145</v>
      </c>
      <c r="B32" s="2573"/>
      <c r="C32" s="2573"/>
      <c r="D32" s="2573"/>
      <c r="E32" s="2573"/>
      <c r="F32" s="2573"/>
    </row>
    <row r="33" spans="1:6" ht="13.5" customHeight="1" x14ac:dyDescent="0.2">
      <c r="A33" s="306" t="s">
        <v>1420</v>
      </c>
      <c r="B33" s="306"/>
      <c r="C33" s="1064">
        <v>33153</v>
      </c>
      <c r="D33" s="1526"/>
      <c r="E33" s="1062"/>
    </row>
    <row r="34" spans="1:6" ht="13.5" customHeight="1" x14ac:dyDescent="0.2">
      <c r="A34" s="306" t="s">
        <v>1811</v>
      </c>
      <c r="B34" s="306"/>
      <c r="C34" s="1065">
        <v>0</v>
      </c>
      <c r="D34" s="1526" t="s">
        <v>1575</v>
      </c>
      <c r="E34" s="2574">
        <f>+C33+C34</f>
        <v>33153</v>
      </c>
      <c r="F34" s="2575"/>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t="s">
        <v>2104</v>
      </c>
      <c r="D38" s="1526"/>
      <c r="E38" s="1062"/>
    </row>
    <row r="39" spans="1:6" ht="14.25" customHeight="1" x14ac:dyDescent="0.2">
      <c r="A39" s="306"/>
      <c r="B39" s="306" t="s">
        <v>1422</v>
      </c>
      <c r="C39" s="1068" t="s">
        <v>2104</v>
      </c>
      <c r="D39" s="1526"/>
      <c r="E39" s="1062"/>
    </row>
    <row r="40" spans="1:6" ht="14.25" customHeight="1" x14ac:dyDescent="0.2">
      <c r="A40" s="306"/>
      <c r="B40" s="306" t="s">
        <v>1423</v>
      </c>
      <c r="C40" s="1068" t="s">
        <v>2104</v>
      </c>
      <c r="D40" s="1526"/>
      <c r="E40" s="1062"/>
    </row>
    <row r="41" spans="1:6" ht="14.25" customHeight="1" x14ac:dyDescent="0.2">
      <c r="A41" s="306"/>
      <c r="B41" s="306" t="s">
        <v>1424</v>
      </c>
      <c r="C41" s="1068" t="s">
        <v>2104</v>
      </c>
      <c r="D41" s="1526"/>
      <c r="E41" s="1062"/>
    </row>
    <row r="42" spans="1:6" ht="14.25" customHeight="1" x14ac:dyDescent="0.2">
      <c r="A42" s="306" t="s">
        <v>1425</v>
      </c>
      <c r="B42" s="306"/>
      <c r="C42" s="1524" t="s">
        <v>380</v>
      </c>
      <c r="D42" s="1526"/>
      <c r="E42" s="1062"/>
    </row>
    <row r="43" spans="1:6" ht="14.25" customHeight="1" x14ac:dyDescent="0.2">
      <c r="A43" s="306" t="s">
        <v>1426</v>
      </c>
      <c r="B43" s="306"/>
      <c r="C43" s="1069" t="s">
        <v>380</v>
      </c>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1576</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1537</v>
      </c>
      <c r="C51" s="2571"/>
      <c r="D51" s="2571"/>
    </row>
    <row r="52" spans="1:5" ht="14.25" customHeight="1" x14ac:dyDescent="0.2">
      <c r="A52" s="1077"/>
      <c r="B52" s="2571"/>
      <c r="C52" s="2571"/>
      <c r="D52" s="257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39" sqref="B3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Mt Zion CUSD 3</v>
      </c>
      <c r="C1" s="2595"/>
      <c r="D1" s="2595"/>
      <c r="E1" s="2595"/>
      <c r="F1" s="2595"/>
      <c r="G1" s="2595"/>
      <c r="H1" s="2595"/>
      <c r="I1" s="2595"/>
      <c r="J1" s="1178"/>
    </row>
    <row r="2" spans="2:10" s="295" customFormat="1" ht="12.75" customHeight="1" x14ac:dyDescent="0.2">
      <c r="B2" s="2596">
        <f>'Single Audit Cover'!E7</f>
        <v>39055003026</v>
      </c>
      <c r="C2" s="2597"/>
      <c r="D2" s="2597"/>
      <c r="E2" s="2597"/>
      <c r="F2" s="2597"/>
      <c r="G2" s="2597"/>
      <c r="H2" s="2597"/>
      <c r="I2" s="2597"/>
      <c r="J2" s="1178"/>
    </row>
    <row r="3" spans="2:10" s="295" customFormat="1" ht="12.75" customHeight="1" x14ac:dyDescent="0.2">
      <c r="B3" s="2598" t="s">
        <v>1276</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1275</v>
      </c>
      <c r="C7" s="2599"/>
      <c r="D7" s="2599"/>
      <c r="E7" s="2599"/>
      <c r="F7" s="2599"/>
      <c r="G7" s="2599"/>
      <c r="H7" s="2599"/>
      <c r="I7" s="2599"/>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00" t="s">
        <v>2140</v>
      </c>
      <c r="D11" s="2600"/>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2048</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2048</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2048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t="s">
        <v>2048</v>
      </c>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t="s">
        <v>2048</v>
      </c>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1" t="s">
        <v>2141</v>
      </c>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t="s">
        <v>2048</v>
      </c>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1578</v>
      </c>
      <c r="H37" s="2603"/>
      <c r="I37" s="2604"/>
    </row>
    <row r="38" spans="2:9" ht="16.5" customHeight="1" x14ac:dyDescent="0.2">
      <c r="B38" s="1200" t="s">
        <v>2143</v>
      </c>
      <c r="C38" s="2590" t="s">
        <v>2142</v>
      </c>
      <c r="D38" s="2591"/>
      <c r="E38" s="2591"/>
      <c r="F38" s="2592"/>
      <c r="G38" s="2605">
        <v>531587</v>
      </c>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1579</v>
      </c>
      <c r="D43" s="2584"/>
      <c r="E43" s="2584"/>
      <c r="F43" s="2585"/>
      <c r="G43" s="2586">
        <f>SUM(G38:I42)</f>
        <v>531587</v>
      </c>
      <c r="H43" s="2586"/>
      <c r="I43" s="2586"/>
    </row>
    <row r="44" spans="2:9" ht="12.75" customHeight="1" x14ac:dyDescent="0.2"/>
    <row r="45" spans="2:9" ht="12.75" customHeight="1" x14ac:dyDescent="0.2">
      <c r="B45" s="1917" t="str">
        <f>"Total Federal Expenditures for 7/1/"&amp;MID('AFR20'!E2,3,2)-1&amp;"-6/30/"&amp;MID('AFR20'!E2,3,2)</f>
        <v>Total Federal Expenditures for 7/1/19-6/30/20</v>
      </c>
      <c r="C45" s="1918"/>
      <c r="D45" s="2587">
        <v>1291287</v>
      </c>
      <c r="E45" s="2588"/>
    </row>
    <row r="46" spans="2:9" ht="5.25" customHeight="1" x14ac:dyDescent="0.2">
      <c r="B46" s="1201"/>
      <c r="D46" s="1202"/>
      <c r="E46" s="1203"/>
    </row>
    <row r="47" spans="2:9" ht="12.75" customHeight="1" x14ac:dyDescent="0.2">
      <c r="B47" s="1076" t="s">
        <v>1580</v>
      </c>
      <c r="C47" s="1076"/>
      <c r="D47" s="1204">
        <f>+G43/D45</f>
        <v>0.41167223088283239</v>
      </c>
      <c r="E47" s="1205"/>
      <c r="F47" s="1206"/>
      <c r="I47" s="1207"/>
    </row>
    <row r="48" spans="2:9" ht="9.9499999999999993" customHeight="1" x14ac:dyDescent="0.2"/>
    <row r="49" spans="1:9" x14ac:dyDescent="0.2">
      <c r="B49" s="1138" t="s">
        <v>1264</v>
      </c>
      <c r="C49" s="1058"/>
      <c r="D49" s="1058"/>
      <c r="E49" s="2589">
        <v>750000</v>
      </c>
      <c r="F49" s="2589"/>
      <c r="G49" s="2589"/>
      <c r="H49" s="300"/>
    </row>
    <row r="51" spans="1:9" ht="13.5" customHeight="1" x14ac:dyDescent="0.2">
      <c r="B51" s="1138" t="s">
        <v>1263</v>
      </c>
      <c r="C51" s="1058"/>
      <c r="E51" s="1194" t="s">
        <v>2048</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1583</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Mt Zion CUSD 3</v>
      </c>
      <c r="C1" s="2594"/>
      <c r="D1" s="2594"/>
      <c r="E1" s="2594"/>
      <c r="F1" s="2594"/>
      <c r="G1" s="2594"/>
      <c r="H1" s="2594"/>
      <c r="I1" s="2594"/>
      <c r="J1" s="2594"/>
      <c r="K1" s="2594"/>
      <c r="L1" s="1144"/>
      <c r="M1" s="1144"/>
    </row>
    <row r="2" spans="1:13" ht="12" customHeight="1" x14ac:dyDescent="0.2">
      <c r="B2" s="2596">
        <f>'Single Audit Cover'!E7</f>
        <v>39055003026</v>
      </c>
      <c r="C2" s="2596"/>
      <c r="D2" s="2596"/>
      <c r="E2" s="2596"/>
      <c r="F2" s="2596"/>
      <c r="G2" s="2596"/>
      <c r="H2" s="2596"/>
      <c r="I2" s="2596"/>
      <c r="J2" s="2596"/>
      <c r="K2" s="2596"/>
      <c r="L2" s="1145"/>
      <c r="M2" s="1146"/>
    </row>
    <row r="3" spans="1:13" ht="10.35" customHeight="1" x14ac:dyDescent="0.2">
      <c r="B3" s="2610" t="s">
        <v>1276</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1287</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t="s">
        <v>2103</v>
      </c>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1277</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Mt Zion CUSD 3</v>
      </c>
      <c r="C1" s="2617"/>
      <c r="D1" s="2617"/>
      <c r="E1" s="2617"/>
      <c r="F1" s="2617"/>
      <c r="G1" s="2617"/>
      <c r="H1" s="2617"/>
      <c r="I1" s="2617"/>
      <c r="J1" s="2617"/>
      <c r="K1" s="2617"/>
      <c r="L1" s="1221"/>
    </row>
    <row r="2" spans="1:12" ht="12.75" customHeight="1" x14ac:dyDescent="0.2">
      <c r="B2" s="2618">
        <f>'Single Audit Cover'!E7</f>
        <v>39055003026</v>
      </c>
      <c r="C2" s="2618"/>
      <c r="D2" s="2618"/>
      <c r="E2" s="2618"/>
      <c r="F2" s="2618"/>
      <c r="G2" s="2618"/>
      <c r="H2" s="2618"/>
      <c r="I2" s="2618"/>
      <c r="J2" s="2618"/>
      <c r="K2" s="2618"/>
      <c r="L2" s="1222"/>
    </row>
    <row r="3" spans="1:12" ht="12.75" customHeight="1" x14ac:dyDescent="0.2">
      <c r="B3" s="2610" t="s">
        <v>1276</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1161</v>
      </c>
      <c r="C5" s="1036"/>
      <c r="L5" s="300"/>
    </row>
    <row r="6" spans="1:12" ht="30.75" customHeight="1" x14ac:dyDescent="0.2">
      <c r="A6" s="300"/>
      <c r="B6" s="2619" t="s">
        <v>1299</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t="s">
        <v>2103</v>
      </c>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4"/>
      <c r="E14" s="2614"/>
      <c r="F14" s="2614"/>
      <c r="H14" s="1230" t="s">
        <v>1294</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5"/>
      <c r="E16" s="2615"/>
      <c r="F16" s="2615"/>
      <c r="G16" s="2615"/>
      <c r="H16" s="2615"/>
      <c r="I16" s="2615"/>
      <c r="J16" s="2615"/>
      <c r="K16" s="2615"/>
      <c r="L16" s="300"/>
    </row>
    <row r="17" spans="2:12" ht="13.5" customHeight="1" x14ac:dyDescent="0.2">
      <c r="B17" s="1156" t="s">
        <v>1292</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Mt Zion CUSD 3</v>
      </c>
      <c r="C1" s="2594"/>
      <c r="D1" s="2594"/>
      <c r="E1" s="1240"/>
    </row>
    <row r="2" spans="2:5" s="1058" customFormat="1" ht="12.75" customHeight="1" x14ac:dyDescent="0.2">
      <c r="B2" s="2596">
        <f>'Single Audit Cover'!E7</f>
        <v>39055003026</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1306</v>
      </c>
      <c r="C6" s="1244" t="s">
        <v>1305</v>
      </c>
      <c r="D6" s="1244" t="s">
        <v>1745</v>
      </c>
    </row>
    <row r="7" spans="2:5" ht="13.5" customHeight="1" x14ac:dyDescent="0.2">
      <c r="B7" s="1245"/>
      <c r="C7" s="302"/>
      <c r="D7" s="302"/>
      <c r="E7" s="302"/>
    </row>
    <row r="8" spans="2:5" ht="13.5" customHeight="1" x14ac:dyDescent="0.2">
      <c r="B8" s="1245" t="s">
        <v>2103</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1746</v>
      </c>
    </row>
    <row r="46" spans="2:5" ht="12.2" customHeight="1" x14ac:dyDescent="0.2">
      <c r="B46" s="1254" t="s">
        <v>1747</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elements/1.1/"/>
    <ds:schemaRef ds:uri="6ce3111e-7420-4802-b50a-75d4e9a0b980"/>
    <ds:schemaRef ds:uri="4d435f69-8686-490b-bd6d-b153bf22ab50"/>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d21dc803-237d-4c68-8692-8d731fd29118"/>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2020-10-12T15:17:54Z</cp:lastPrinted>
  <dcterms:created xsi:type="dcterms:W3CDTF">2003-10-29T19:06:34Z</dcterms:created>
  <dcterms:modified xsi:type="dcterms:W3CDTF">2020-10-21T23:13:30Z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{4FDEA949-2F18-4E5C-A5C6-98E74ABA7932}</vt:lpwstr>
  </property>
</Properties>
</file>