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4_{CF662395-ECAD-494A-9018-B4CBC0406392}" xr6:coauthVersionLast="45" xr6:coauthVersionMax="45" xr10:uidLastSave="{00000000-0000-0000-0000-000000000000}"/>
  <bookViews>
    <workbookView xWindow="-120" yWindow="-120" windowWidth="29040" windowHeight="176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F17" i="183"/>
  <c r="E17" i="183"/>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G39" i="108"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l="1"/>
  <c r="B4270" i="106" s="1"/>
  <c r="D4270" i="106" s="1"/>
  <c r="G14" i="4"/>
  <c r="B2609" i="106" s="1"/>
  <c r="D2609" i="106" s="1"/>
  <c r="F72" i="34"/>
  <c r="F71" i="34"/>
  <c r="F36" i="34"/>
  <c r="B7828" i="106" s="1"/>
  <c r="D7828" i="106" s="1"/>
  <c r="G26" i="108"/>
  <c r="B7047" i="106"/>
  <c r="D7047" i="106" s="1"/>
  <c r="B6289" i="106"/>
  <c r="D6289" i="106" s="1"/>
  <c r="B1274" i="106"/>
  <c r="D1274" i="106" s="1"/>
  <c r="H15" i="184"/>
  <c r="D31" i="108"/>
  <c r="E16" i="184"/>
  <c r="H16" i="184" s="1"/>
  <c r="B7705" i="106"/>
  <c r="D7705" i="106" s="1"/>
  <c r="E67" i="184"/>
  <c r="N67" i="184" s="1"/>
  <c r="B7126" i="106"/>
  <c r="D7126" i="106" s="1"/>
  <c r="E57" i="184"/>
  <c r="N57" i="184" s="1"/>
  <c r="F34" i="34"/>
  <c r="B7826" i="106" s="1"/>
  <c r="D7826" i="106" s="1"/>
  <c r="H342" i="29"/>
  <c r="B7696" i="106"/>
  <c r="D7696" i="106" s="1"/>
  <c r="E66" i="184"/>
  <c r="N66" i="184" s="1"/>
  <c r="B7189" i="106"/>
  <c r="D7189" i="106" s="1"/>
  <c r="E64" i="184"/>
  <c r="N64" i="184" s="1"/>
  <c r="B7171" i="106"/>
  <c r="D7171" i="106" s="1"/>
  <c r="E62" i="184"/>
  <c r="N62" i="184" s="1"/>
  <c r="G33" i="108"/>
  <c r="E17" i="184"/>
  <c r="H17" i="184" s="1"/>
  <c r="H33" i="118"/>
  <c r="H12" i="184"/>
  <c r="H19" i="184" s="1"/>
  <c r="L20" i="184" s="1"/>
  <c r="E19" i="184"/>
  <c r="C129" i="29"/>
  <c r="B7153" i="106"/>
  <c r="D7153" i="106" s="1"/>
  <c r="E60" i="184"/>
  <c r="N60" i="184" s="1"/>
  <c r="B7180" i="106"/>
  <c r="D7180" i="106" s="1"/>
  <c r="E63" i="184"/>
  <c r="N63" i="184" s="1"/>
  <c r="B7162" i="106"/>
  <c r="D7162" i="106" s="1"/>
  <c r="E61" i="184"/>
  <c r="N61" i="184" s="1"/>
  <c r="B7198" i="106"/>
  <c r="D7198" i="106" s="1"/>
  <c r="E65" i="184"/>
  <c r="N65" i="184" s="1"/>
  <c r="B7135" i="106"/>
  <c r="D7135" i="106" s="1"/>
  <c r="E58"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7222" i="106"/>
  <c r="D7222" i="106" s="1"/>
  <c r="F76" i="34"/>
  <c r="B7887" i="106" s="1"/>
  <c r="D7887" i="106" s="1"/>
  <c r="N23" i="3"/>
  <c r="B284" i="106" s="1"/>
  <c r="D284" i="106" s="1"/>
  <c r="D44" i="36"/>
  <c r="F41" i="108"/>
  <c r="G43" i="108" s="1"/>
  <c r="B7220" i="106"/>
  <c r="D7220" i="106" s="1"/>
  <c r="F75" i="34"/>
  <c r="B7886" i="106" s="1"/>
  <c r="D7886" i="106" s="1"/>
  <c r="N58" i="184"/>
  <c r="N68" i="184" s="1"/>
  <c r="E68" i="184"/>
  <c r="B1381" i="106"/>
  <c r="D1381" i="106" s="1"/>
  <c r="B5527" i="106"/>
  <c r="D5527" i="106" s="1"/>
  <c r="L114" i="29"/>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F77" i="34"/>
  <c r="J19" i="4"/>
  <c r="B6229" i="106" s="1"/>
  <c r="D6229" i="106" s="1"/>
  <c r="J10" i="4"/>
  <c r="B6225" i="106" s="1"/>
  <c r="D6225" i="106" s="1"/>
  <c r="B6223" i="106"/>
  <c r="D6223" i="106" s="1"/>
  <c r="F8" i="4"/>
  <c r="F10" i="4" s="1"/>
  <c r="B4125" i="106" s="1"/>
  <c r="D412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c r="C11" i="146"/>
  <c r="B1644" i="106" l="1"/>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<sst xmlns="http://schemas.openxmlformats.org/spreadsheetml/2006/main" count="5175" uniqueCount="2097">
  <si>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</si>
  <si>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</si>
  <si>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</si>
  <si>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</si>
  <si>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</si>
  <si>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</si>
  <si>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</si>
  <si>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</si>
  <si>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</si>
  <si>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</si>
  <si>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</si>
  <si>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</si>
  <si>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</si>
  <si>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</si>
  <si>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</si>
  <si>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</si>
  <si>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</si>
  <si>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</si>
  <si>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</si>
  <si>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</si>
  <si>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</si>
  <si>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</si>
  <si>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</si>
  <si>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</si>
  <si>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</si>
  <si>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</si>
  <si>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</si>
  <si>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</si>
  <si>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</si>
  <si>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</si>
  <si>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</si>
  <si>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</si>
  <si>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</si>
  <si>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</si>
  <si>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</si>
  <si>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</si>
  <si>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</si>
  <si>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</si>
  <si>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</si>
  <si>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</si>
  <si>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</si>
  <si>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</si>
  <si>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</si>
  <si>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</si>
  <si>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</si>
  <si>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</si>
  <si>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</si>
  <si>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</si>
  <si>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</si>
  <si>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</si>
  <si>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</si>
  <si>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</si>
  <si>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</si>
  <si>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</si>
  <si>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</si>
  <si>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</si>
  <si>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</si>
  <si>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</si>
  <si>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</si>
  <si>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</si>
  <si>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</si>
  <si>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</si>
  <si>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</si>
  <si>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</si>
  <si>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</si>
  <si>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</si>
  <si>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</si>
  <si>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</si>
  <si>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</si>
  <si>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</si>
  <si>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</si>
  <si>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</si>
  <si>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</si>
  <si>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</si>
  <si>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</si>
  <si>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</si>
  <si>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</si>
  <si>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</si>
  <si>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</si>
  <si>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</si>
  <si>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</si>
  <si>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</si>
  <si>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</si>
  <si>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</si>
  <si>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</si>
  <si>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</si>
  <si>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</si>
  <si>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</si>
  <si>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</si>
  <si>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</si>
  <si>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</si>
  <si>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</si>
  <si>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</si>
  <si>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</si>
  <si>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</si>
  <si>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</si>
  <si>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</si>
  <si>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</si>
  <si>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</si>
  <si>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</si>
  <si>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</si>
  <si>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</si>
  <si>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</si>
  <si>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</si>
  <si>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</si>
  <si>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</si>
  <si>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</si>
  <si>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</si>
  <si>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</si>
  <si>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</si>
  <si>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</si>
  <si>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</si>
  <si>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</si>
  <si>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</si>
  <si>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</si>
  <si>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</si>
  <si>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</si>
  <si>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</si>
  <si>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</si>
  <si>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</si>
  <si>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</si>
  <si>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</si>
  <si>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</si>
  <si>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</si>
  <si>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</si>
  <si>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</si>
  <si>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</si>
  <si>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</si>
  <si>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</si>
  <si>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</si>
  <si>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</si>
  <si>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</si>
  <si>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</si>
  <si>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</si>
  <si>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</si>
  <si>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</si>
  <si>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</si>
  <si>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</si>
  <si>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</si>
  <si>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</si>
  <si>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</si>
  <si>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</si>
  <si>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</si>
  <si>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</si>
  <si>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</si>
  <si>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</si>
  <si>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</si>
  <si>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</si>
  <si>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</si>
  <si>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</si>
  <si>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</si>
  <si>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</si>
  <si>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</si>
  <si>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</si>
  <si>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</si>
  <si>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</si>
  <si>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</si>
  <si>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</si>
  <si>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</si>
  <si>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</si>
  <si>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</si>
  <si>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</si>
  <si>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</si>
  <si>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</si>
  <si>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</si>
  <si>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</si>
  <si>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</si>
  <si>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</si>
  <si>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</si>
  <si>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</si>
  <si>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</si>
  <si>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</si>
  <si>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</si>
  <si>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</si>
  <si>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</si>
  <si>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</si>
  <si>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</si>
  <si>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</si>
  <si>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</si>
  <si>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</si>
  <si>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</si>
  <si>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</si>
  <si>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</si>
  <si>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</si>
  <si>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</si>
  <si>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</si>
  <si>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</si>
  <si>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</si>
  <si>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</si>
  <si>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</si>
  <si>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</si>
  <si>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</si>
  <si>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</si>
  <si>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</si>
  <si>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</si>
  <si>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</si>
  <si>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</si>
  <si>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</si>
  <si>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</si>
  <si>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</si>
  <si>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</si>
  <si>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</si>
  <si>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</si>
  <si>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</si>
  <si>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</si>
  <si>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</si>
  <si>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</si>
  <si>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</si>
  <si>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</si>
  <si>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</si>
  <si>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</si>
  <si>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</si>
  <si>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</si>
  <si>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</si>
  <si>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</si>
  <si>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</si>
  <si>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</si>
  <si>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</si>
  <si>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</si>
  <si>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</si>
  <si>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</si>
  <si>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</si>
  <si>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</si>
  <si>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</si>
  <si>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</si>
  <si>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</si>
  <si>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</si>
  <si>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</si>
  <si>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</si>
  <si>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</si>
  <si>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</si>
  <si>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</si>
  <si>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</si>
  <si>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</si>
  <si>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</si>
  <si>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</si>
  <si>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</si>
  <si>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</si>
  <si>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</si>
  <si>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</si>
  <si>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</si>
  <si>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</si>
  <si>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</si>
  <si>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</si>
  <si>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</si>
  <si>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</si>
  <si>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</si>
  <si>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</si>
  <si>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</si>
  <si>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</si>
  <si>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</si>
  <si>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</si>
  <si>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</si>
  <si>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</si>
  <si>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</si>
  <si>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</si>
  <si>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</si>
  <si>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</si>
  <si>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</si>
  <si>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</si>
  <si>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</si>
  <si>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</si>
  <si>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</si>
  <si>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</si>
  <si>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</si>
  <si>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</si>
  <si>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</si>
  <si>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</si>
  <si>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</si>
  <si>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</si>
  <si>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</si>
  <si>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</si>
  <si>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</si>
  <si>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</si>
  <si>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</si>
  <si>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</si>
  <si>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</si>
  <si>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</si>
  <si>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</si>
  <si>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</si>
  <si>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</si>
  <si>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</si>
  <si>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</si>
  <si>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</si>
  <si>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</si>
  <si>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</si>
  <si>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</si>
  <si>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</si>
  <si>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</si>
  <si>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</si>
  <si>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</si>
  <si>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</si>
  <si>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</si>
  <si>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</si>
  <si>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</si>
  <si>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</si>
  <si>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</si>
  <si>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</si>
  <si>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</si>
  <si>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</si>
  <si>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</si>
  <si>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</si>
  <si>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</si>
  <si>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</si>
  <si>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</si>
  <si>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</si>
  <si>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</si>
  <si>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</si>
  <si>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</si>
  <si>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</si>
  <si>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</si>
  <si>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</si>
  <si>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</si>
  <si>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</si>
  <si>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</si>
  <si>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</si>
  <si>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</si>
  <si>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</si>
  <si>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</si>
  <si>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</si>
  <si>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</si>
  <si>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</si>
  <si>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</si>
  <si>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</si>
  <si>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</si>
  <si>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</si>
  <si>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</si>
  <si>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</si>
  <si>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</si>
  <si>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</si>
  <si>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</si>
  <si>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</si>
  <si>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</si>
  <si>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</si>
  <si>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</si>
  <si>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</si>
  <si>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</si>
  <si>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</si>
  <si>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</si>
  <si>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</si>
  <si>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</si>
  <si>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</si>
  <si>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</si>
  <si>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</si>
  <si>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</si>
  <si>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</si>
  <si>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</si>
  <si>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</si>
  <si>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</si>
  <si>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</si>
  <si>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</si>
  <si>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</si>
  <si>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</si>
  <si>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</si>
  <si>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</si>
  <si>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</si>
  <si>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</si>
  <si>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</si>
  <si>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</si>
  <si>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</si>
  <si>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</si>
  <si>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</si>
  <si>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</si>
  <si>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</si>
  <si>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</si>
  <si>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</si>
  <si>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</si>
  <si>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</si>
  <si>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</si>
  <si>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</si>
  <si>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</si>
  <si>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</si>
  <si>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</si>
  <si>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</si>
  <si>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</si>
  <si>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</si>
  <si>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</si>
  <si>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</si>
  <si>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</si>
  <si>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</si>
  <si>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</si>
  <si>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</si>
  <si>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</si>
  <si>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</si>
  <si>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</si>
  <si>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</si>
  <si>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</si>
  <si>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</si>
  <si>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</si>
  <si>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</si>
  <si>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</si>
  <si>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</si>
  <si>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</si>
  <si>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</si>
  <si>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</si>
  <si>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</si>
  <si>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</si>
  <si>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</si>
  <si>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</si>
  <si>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</si>
  <si>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</si>
  <si>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</si>
  <si>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</si>
  <si>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</si>
  <si>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</si>
  <si>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</si>
  <si>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</si>
  <si>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</si>
  <si>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</si>
  <si>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</si>
  <si>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</si>
  <si>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</si>
  <si>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</si>
  <si>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</si>
  <si>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</si>
  <si>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</si>
  <si>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</si>
  <si>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</si>
  <si>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</si>
  <si>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</si>
  <si>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</si>
  <si>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</si>
  <si>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</si>
  <si>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</si>
  <si>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</si>
  <si>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</si>
  <si>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</si>
  <si>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</si>
  <si>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</si>
  <si>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</si>
  <si>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</si>
  <si>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</si>
  <si>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</si>
  <si>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</si>
  <si>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</si>
  <si>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</si>
  <si>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</si>
  <si>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</si>
  <si>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</si>
  <si>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</si>
  <si>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</si>
  <si>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</si>
  <si>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</si>
  <si>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</si>
  <si>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</si>
  <si>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</si>
  <si>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</si>
  <si>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</si>
  <si>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</si>
  <si>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</si>
  <si>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</si>
  <si>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</si>
  <si>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</si>
  <si>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</si>
  <si>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</si>
  <si>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</si>
  <si>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</si>
  <si>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</si>
  <si>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</si>
  <si>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</si>
  <si>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</si>
  <si>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</si>
  <si>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</si>
  <si>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</si>
  <si>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</si>
  <si>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</si>
  <si>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</si>
  <si>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</si>
  <si>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</si>
  <si>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</si>
  <si>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</si>
  <si>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</si>
  <si>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</si>
  <si>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</si>
  <si>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</si>
  <si>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</si>
  <si>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</si>
  <si>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</si>
  <si>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</si>
  <si>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</si>
  <si>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</si>
  <si>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</si>
  <si>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</si>
  <si>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</si>
  <si>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</si>
  <si>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</si>
  <si>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</si>
  <si>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</si>
  <si>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</si>
  <si>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</si>
  <si>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</si>
  <si>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</si>
  <si>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</si>
  <si>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</si>
  <si>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</si>
  <si>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</si>
  <si>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</si>
  <si>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</si>
  <si>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</si>
  <si>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</si>
  <si>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</si>
  <si>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</si>
  <si>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</si>
  <si>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</si>
  <si>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</si>
  <si>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</si>
  <si>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</si>
  <si>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</si>
  <si>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</si>
  <si>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</si>
  <si>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</si>
  <si>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</si>
  <si>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</si>
  <si>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</si>
  <si>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</si>
  <si>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</si>
  <si>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</si>
  <si>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</si>
  <si>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</si>
  <si>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</si>
  <si>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</si>
  <si>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</si>
  <si>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</si>
  <si>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</si>
  <si>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</si>
  <si>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</si>
  <si>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</si>
  <si>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</si>
  <si>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</si>
  <si>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</si>
  <si>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</si>
  <si>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</si>
  <si>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</si>
  <si>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</si>
  <si>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</si>
  <si>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</si>
  <si>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</si>
  <si>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</si>
  <si>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</si>
  <si>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</si>
  <si>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</si>
  <si>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</si>
  <si>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</si>
  <si>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</si>
  <si>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</si>
  <si>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</si>
  <si>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</si>
  <si>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</si>
  <si>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</si>
  <si>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</si>
  <si>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</si>
  <si>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</si>
  <si>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</si>
  <si>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</si>
  <si>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</si>
  <si>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</si>
  <si>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</si>
  <si>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</si>
  <si>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</si>
  <si>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</si>
  <si>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</si>
  <si>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</si>
  <si>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</si>
  <si>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</si>
  <si>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</si>
  <si>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</si>
  <si>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</si>
  <si>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</si>
  <si>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</si>
  <si>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</si>
  <si>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</si>
  <si>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</si>
  <si>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</si>
  <si>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</si>
  <si>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</si>
  <si>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</si>
  <si>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</si>
  <si>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</si>
  <si>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</si>
  <si>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</si>
  <si>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</si>
  <si>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</si>
  <si>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</si>
  <si>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</si>
  <si>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</si>
  <si>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</si>
  <si>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</si>
  <si>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</si>
  <si>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</si>
  <si>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</si>
  <si>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</si>
  <si>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</si>
  <si>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</si>
  <si>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</si>
  <si>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</si>
  <si>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</si>
  <si>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</si>
  <si>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</si>
  <si>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</si>
  <si>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</si>
  <si>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</si>
  <si>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</si>
  <si>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</si>
  <si>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</si>
  <si>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</si>
  <si>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</si>
  <si>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</si>
  <si>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</si>
  <si>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</si>
  <si>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</si>
  <si>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</si>
  <si>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</si>
  <si>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</si>
  <si>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</si>
  <si>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</si>
  <si>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</si>
  <si>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</si>
  <si>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</si>
  <si>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</si>
  <si>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</si>
  <si>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</si>
  <si>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</si>
  <si>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</si>
  <si>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</si>
  <si>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</si>
  <si>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</si>
  <si>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</si>
  <si>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</si>
  <si>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</si>
  <si>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</si>
  <si>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</si>
  <si>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</si>
  <si>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</si>
  <si>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</si>
  <si>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</si>
  <si>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</si>
  <si>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</si>
  <si>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</si>
  <si>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</si>
  <si>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</si>
  <si>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</si>
  <si>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</si>
  <si>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</si>
  <si>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</si>
  <si>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</si>
  <si>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</si>
  <si>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</si>
  <si>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</si>
  <si>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</si>
  <si>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</si>
  <si>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</si>
  <si>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</si>
  <si>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</si>
  <si>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</si>
  <si>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</si>
  <si>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</si>
  <si>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</si>
  <si>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</si>
  <si>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</si>
  <si>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</si>
  <si>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</si>
  <si>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</si>
  <si>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</si>
  <si>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</si>
  <si>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</si>
  <si>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</si>
  <si>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</si>
  <si>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</si>
  <si>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</si>
  <si>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</si>
  <si>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</si>
  <si>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</si>
  <si>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</si>
  <si>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</si>
  <si>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</si>
  <si>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</si>
  <si>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</si>
  <si>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</si>
  <si>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</si>
  <si>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</si>
  <si>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</si>
  <si>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</si>
  <si>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</si>
  <si>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</si>
  <si>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</si>
  <si>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</si>
  <si>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</si>
  <si>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</si>
  <si>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</si>
  <si>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</si>
  <si>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</si>
  <si>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</si>
  <si>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</si>
  <si>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</si>
  <si>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</si>
  <si>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</si>
  <si>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</si>
  <si>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</si>
  <si>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</si>
  <si>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</si>
  <si>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</si>
  <si>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</si>
  <si>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</si>
  <si>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</si>
  <si>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</si>
  <si>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</si>
  <si>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</si>
  <si>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</si>
  <si>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</si>
  <si>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</si>
  <si>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</si>
  <si>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</si>
  <si>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</si>
  <si>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</si>
  <si>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</si>
  <si>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</si>
  <si>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</si>
  <si>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</si>
  <si>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</si>
  <si>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</si>
  <si>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</si>
  <si>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</si>
  <si>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</si>
  <si>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</si>
  <si>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</si>
  <si>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</si>
  <si>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</si>
  <si>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</si>
  <si>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</si>
  <si>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</si>
  <si>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</si>
  <si>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</si>
  <si>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</si>
  <si>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</si>
  <si>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</si>
  <si>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</si>
  <si>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</si>
  <si>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</si>
  <si>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</si>
  <si>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</si>
  <si>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</si>
  <si>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</si>
  <si>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</si>
  <si>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</si>
  <si>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</si>
  <si>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</si>
  <si>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</si>
  <si>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</si>
  <si>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</si>
  <si>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</si>
  <si>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</si>
  <si>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</si>
  <si>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</si>
  <si>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</si>
  <si>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</si>
  <si>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</si>
  <si>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</si>
  <si>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</si>
  <si>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</si>
  <si>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</si>
  <si>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</si>
  <si>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</si>
  <si>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</si>
  <si>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</si>
  <si>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</si>
  <si>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</si>
  <si>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</si>
  <si>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</si>
  <si>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</si>
  <si>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</si>
  <si>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</si>
  <si>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</si>
  <si>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</si>
  <si>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</si>
  <si>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</si>
  <si>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</si>
  <si>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</si>
  <si>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</si>
  <si>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</si>
  <si>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</si>
  <si>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</si>
  <si>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</si>
  <si>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</si>
  <si>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</si>
  <si>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</si>
  <si>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</si>
  <si>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</si>
  <si>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</si>
  <si>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</si>
  <si>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</si>
  <si>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</si>
  <si>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</si>
  <si>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</si>
  <si>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</si>
  <si>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</si>
  <si>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</si>
  <si>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</si>
  <si>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</si>
  <si>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</si>
  <si>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</si>
  <si>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</si>
  <si>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</si>
  <si>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</si>
  <si>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</si>
  <si>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</si>
  <si>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</si>
  <si>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</si>
  <si>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</si>
  <si>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</si>
  <si>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</si>
  <si>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</si>
  <si>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</si>
  <si>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</si>
  <si>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</si>
  <si>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</si>
  <si>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</si>
  <si>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</si>
  <si>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</si>
  <si>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</si>
  <si>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</si>
  <si>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</si>
  <si>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</si>
  <si>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</si>
  <si>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</si>
  <si>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</si>
  <si>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</si>
  <si>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</si>
  <si>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</si>
  <si>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</si>
  <si>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</si>
  <si>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</si>
  <si>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</si>
  <si>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</si>
  <si>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</si>
  <si>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</si>
  <si>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</si>
  <si>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</si>
  <si>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</si>
  <si>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</si>
  <si>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</si>
  <si>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</si>
  <si>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</si>
  <si>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</si>
  <si>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</si>
  <si>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</si>
  <si>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</si>
  <si>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</si>
  <si>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</si>
  <si>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</si>
  <si>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</si>
  <si>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</si>
  <si>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</si>
  <si>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</si>
  <si>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</si>
  <si>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</si>
  <si>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</si>
  <si>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</si>
  <si>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</si>
  <si>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</si>
  <si>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</si>
  <si>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</si>
  <si>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</si>
  <si>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</si>
  <si>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</si>
  <si>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</si>
  <si>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</si>
  <si>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</si>
  <si>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</si>
  <si>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</si>
  <si>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</si>
  <si>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</si>
  <si>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</si>
  <si>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</si>
  <si>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</si>
  <si>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</si>
  <si>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</si>
  <si>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</si>
  <si>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</si>
  <si>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</si>
  <si>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</si>
  <si>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</si>
  <si>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</si>
  <si>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</si>
  <si>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</si>
  <si>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</si>
  <si>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</si>
  <si>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</si>
  <si>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</si>
  <si>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</si>
  <si>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</si>
  <si>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</si>
  <si>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</si>
  <si>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</si>
  <si>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</si>
  <si>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</si>
  <si>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</si>
  <si>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</si>
  <si>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</si>
  <si>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</si>
  <si>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</si>
  <si>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</si>
  <si>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</si>
  <si>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</si>
  <si>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</si>
  <si>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</si>
  <si>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</si>
  <si>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</si>
  <si>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</si>
  <si>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</si>
  <si>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</si>
  <si>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</si>
  <si>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</si>
  <si>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</si>
  <si>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</si>
  <si>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</si>
  <si>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</si>
  <si>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</si>
  <si>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</si>
  <si>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</si>
  <si>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</si>
  <si>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</si>
  <si>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</si>
  <si>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</si>
  <si>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</si>
  <si>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</si>
  <si>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</si>
  <si>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</si>
  <si>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</si>
  <si>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</si>
  <si>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</si>
  <si>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</si>
  <si>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</si>
  <si>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</si>
  <si>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</si>
  <si>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</si>
  <si>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</si>
  <si>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</si>
  <si>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</si>
  <si>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</si>
  <si>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</si>
  <si>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</si>
  <si>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</si>
  <si>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</si>
  <si>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</si>
  <si>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</si>
  <si>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</si>
  <si>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</si>
  <si>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</si>
  <si>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</si>
  <si>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</si>
  <si>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</si>
  <si>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</si>
  <si>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</si>
  <si>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</si>
  <si>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</si>
  <si>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</si>
  <si>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</si>
  <si>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</si>
  <si>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</si>
  <si>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</si>
  <si>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</si>
  <si>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</si>
  <si>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</si>
  <si>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</si>
  <si>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</si>
  <si>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</si>
  <si>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</si>
  <si>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</si>
  <si>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</si>
  <si>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</si>
  <si>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</si>
  <si>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</si>
  <si>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</si>
  <si>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</si>
  <si>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</si>
  <si>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</si>
  <si>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</si>
  <si>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</si>
  <si>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</si>
  <si>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</si>
  <si>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</si>
  <si>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</si>
  <si>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</si>
  <si>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</si>
  <si>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</si>
  <si>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</si>
  <si>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</si>
  <si>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</si>
  <si>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</si>
  <si>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</si>
  <si>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</si>
  <si>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</si>
  <si>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</si>
  <si>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</si>
  <si>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</si>
  <si>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</si>
  <si>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</si>
  <si>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</si>
  <si>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</si>
  <si>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</si>
  <si>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</si>
  <si>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</si>
  <si>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</si>
  <si>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</si>
  <si>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</si>
  <si>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</si>
  <si>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</si>
  <si>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</si>
  <si>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</si>
  <si>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</si>
  <si>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</si>
  <si>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</si>
  <si>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</si>
  <si>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</si>
  <si>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</si>
  <si>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</si>
  <si>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</si>
  <si>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</si>
  <si>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</si>
  <si>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</si>
  <si>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</si>
  <si>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</si>
  <si>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</si>
  <si>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</si>
  <si>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</si>
  <si>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</si>
  <si>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</si>
  <si>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</si>
  <si>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</si>
  <si>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</si>
  <si>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</si>
  <si>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</si>
  <si>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</si>
  <si>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</si>
  <si>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</si>
  <si>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</si>
  <si>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</si>
  <si>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</si>
  <si>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</si>
  <si>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</si>
  <si>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</si>
  <si>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</si>
  <si>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</si>
  <si>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</si>
  <si>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</si>
  <si>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</si>
  <si>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</si>
  <si>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</si>
  <si>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</si>
  <si>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</si>
  <si>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</si>
  <si>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</si>
  <si>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</si>
  <si>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</si>
  <si>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</si>
  <si>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</si>
  <si>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</si>
  <si>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</si>
  <si>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</si>
  <si>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</si>
  <si>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</si>
  <si>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</si>
  <si>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</si>
  <si>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</si>
  <si>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</si>
  <si>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</si>
  <si>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</si>
  <si>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</si>
  <si>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</si>
  <si>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</si>
  <si>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</si>
  <si>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</si>
  <si>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</si>
  <si>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</si>
  <si>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</si>
  <si>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</si>
  <si>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</si>
  <si>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</si>
  <si>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</si>
  <si>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</si>
  <si>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</si>
  <si>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</si>
  <si>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</si>
  <si>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</si>
  <si>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</si>
  <si>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</si>
  <si>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</si>
  <si>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</si>
  <si>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</si>
  <si>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</si>
  <si>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</si>
  <si>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</si>
  <si>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</si>
  <si>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</si>
  <si>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</si>
  <si>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</si>
  <si>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</si>
  <si>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</si>
  <si>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</si>
  <si>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</si>
  <si>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</si>
  <si>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</si>
  <si>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</si>
  <si>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</si>
  <si>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</si>
  <si>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</si>
  <si>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</si>
  <si>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</si>
  <si>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</si>
  <si>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</si>
  <si>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</si>
  <si>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</si>
  <si>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</si>
  <si>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</si>
  <si>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</si>
  <si>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</si>
  <si>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</si>
  <si>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</si>
  <si>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</si>
  <si>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</si>
  <si>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</si>
  <si>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</si>
  <si>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</si>
  <si>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</si>
  <si>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</si>
  <si>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</si>
  <si>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</si>
  <si>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</si>
  <si>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</si>
  <si>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</si>
  <si>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</si>
  <si>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</si>
  <si>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</si>
  <si>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</si>
  <si>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</si>
  <si>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</si>
  <si>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</si>
  <si>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</si>
  <si>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</si>
  <si>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</si>
  <si>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</si>
  <si>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</si>
  <si>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</si>
  <si>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</si>
  <si>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</si>
  <si>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</si>
  <si>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</si>
  <si>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</si>
  <si>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</si>
  <si>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</si>
  <si>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</si>
  <si>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</si>
  <si>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</si>
  <si>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</si>
  <si>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</si>
  <si>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</si>
  <si>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</si>
  <si>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</si>
  <si>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</si>
  <si>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</si>
  <si>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</si>
  <si>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</si>
  <si>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</si>
  <si>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</si>
  <si>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</si>
  <si>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</si>
  <si>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</si>
  <si>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</si>
  <si>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</si>
  <si>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</si>
  <si>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</si>
  <si>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</si>
  <si>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</si>
  <si>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</si>
  <si>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</si>
  <si>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</si>
  <si>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</si>
  <si>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</si>
  <si>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</si>
  <si>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</si>
  <si>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</si>
  <si>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</si>
  <si>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</si>
  <si>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</si>
  <si>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</si>
  <si>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</si>
  <si>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</si>
  <si>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</si>
  <si>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</si>
  <si>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</si>
  <si>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</si>
  <si>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</si>
  <si>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</si>
  <si>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</si>
  <si>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</si>
  <si>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</si>
  <si>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</si>
  <si>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</si>
  <si>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</si>
  <si>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</si>
  <si>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</si>
  <si>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</si>
  <si>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</si>
  <si>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</si>
  <si>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</si>
  <si>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</si>
  <si>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</si>
  <si>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</si>
  <si>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</si>
  <si>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</si>
  <si>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</si>
  <si>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</si>
  <si>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</si>
  <si>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</si>
  <si>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</si>
  <si>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</si>
  <si>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</si>
  <si>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</si>
  <si>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</si>
  <si>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</si>
  <si>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</si>
  <si>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</si>
  <si>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</si>
  <si>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</si>
  <si>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</si>
  <si>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</si>
  <si>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</si>
  <si>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</si>
  <si>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</si>
  <si>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</si>
  <si>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</si>
  <si>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</si>
  <si>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</si>
  <si>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</si>
  <si>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</si>
  <si>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</si>
  <si>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</si>
  <si>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</si>
  <si>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</si>
  <si>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</si>
  <si>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</si>
  <si>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</si>
  <si>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</si>
  <si>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</si>
  <si>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</si>
  <si>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</si>
  <si>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</si>
  <si>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</si>
  <si>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</si>
  <si>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</si>
  <si>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</si>
  <si>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</si>
  <si>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</si>
  <si>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</si>
  <si>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</si>
  <si>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</si>
  <si>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</si>
  <si>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</si>
  <si>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</si>
  <si>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</si>
  <si>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</si>
  <si>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</si>
  <si>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</si>
  <si>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</si>
  <si>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</si>
  <si>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</si>
  <si>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</si>
  <si>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</si>
  <si>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</si>
  <si>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</si>
  <si>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</si>
  <si>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</si>
  <si>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</si>
  <si>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</si>
  <si>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</si>
  <si>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</si>
  <si>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</si>
  <si>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</si>
  <si>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</si>
  <si>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</si>
  <si>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</si>
  <si>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</si>
  <si>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</si>
  <si>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</si>
  <si>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</si>
  <si>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</si>
  <si>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</si>
  <si>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</si>
  <si>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</si>
  <si>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</si>
  <si>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</si>
  <si>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</si>
  <si>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</si>
  <si>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</si>
  <si>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</si>
  <si>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</si>
  <si>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</si>
  <si>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</si>
  <si>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</si>
  <si>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</si>
  <si>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</si>
  <si>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</si>
  <si>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</si>
  <si>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</si>
  <si>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</si>
  <si>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</si>
  <si>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</si>
  <si>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</si>
  <si>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</si>
  <si>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</si>
  <si>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</si>
  <si>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</si>
  <si>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</si>
  <si>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</si>
  <si>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</si>
  <si>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</si>
  <si>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</si>
  <si>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</si>
  <si>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</si>
  <si>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</si>
  <si>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</si>
  <si>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</si>
  <si>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</si>
  <si>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</si>
  <si>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</si>
  <si>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</si>
  <si>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</si>
  <si>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</si>
  <si>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</si>
  <si>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</si>
  <si>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</si>
  <si>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</si>
  <si>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</si>
  <si>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</si>
  <si>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</si>
  <si>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</si>
  <si>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</si>
  <si>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</si>
  <si>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</si>
  <si>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</si>
  <si>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</si>
  <si>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</si>
  <si>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</si>
  <si>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</si>
  <si>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</si>
  <si>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</si>
  <si>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</si>
  <si>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</si>
  <si>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</si>
  <si>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</si>
  <si>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</si>
  <si>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</si>
  <si>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</si>
  <si>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</si>
  <si>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</si>
  <si>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</si>
  <si>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</si>
  <si>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</si>
  <si>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</si>
  <si>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</si>
  <si>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</si>
  <si>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</si>
  <si>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</si>
  <si>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</si>
  <si>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</si>
  <si>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</si>
  <si>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</si>
  <si>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</si>
  <si>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</si>
  <si>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</si>
  <si>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</si>
  <si>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</si>
  <si>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</si>
  <si>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</si>
  <si>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</si>
  <si>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</si>
  <si>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</si>
  <si>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</si>
  <si>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</si>
  <si>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</si>
  <si>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</si>
  <si>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</si>
  <si>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</si>
  <si>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</si>
  <si>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</si>
  <si>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</si>
  <si>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</si>
  <si>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</si>
  <si>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</si>
  <si>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</si>
  <si>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</si>
  <si>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</si>
  <si>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</si>
  <si>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</si>
  <si>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</si>
  <si>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</si>
  <si>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</si>
  <si>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</si>
  <si>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</si>
  <si>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</si>
  <si>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</si>
  <si>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</si>
  <si>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</si>
  <si>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</si>
  <si>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</si>
  <si>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</si>
  <si>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</si>
  <si>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</si>
  <si>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</si>
  <si>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</si>
  <si>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</si>
  <si>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</si>
  <si>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</si>
  <si>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</si>
  <si>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</si>
  <si>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</si>
  <si>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</si>
  <si>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</si>
  <si>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</si>
  <si>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</si>
  <si>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</si>
  <si>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</si>
  <si>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</si>
  <si>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</si>
  <si>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</si>
  <si>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</si>
  <si>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</si>
  <si>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</si>
  <si>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</si>
  <si>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</si>
  <si>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</si>
  <si>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</si>
  <si>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</si>
  <si>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</si>
  <si>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</si>
  <si>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</si>
  <si>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</si>
  <si>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</si>
  <si>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</si>
  <si>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</si>
  <si>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</si>
  <si>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</si>
  <si>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</si>
  <si>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</si>
  <si>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</si>
  <si>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</si>
  <si>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</si>
  <si>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</si>
  <si>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</si>
  <si>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</si>
  <si>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</si>
  <si>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</si>
  <si>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</si>
  <si>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</si>
  <si>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</si>
  <si>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</si>
  <si>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</si>
  <si>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</si>
  <si>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</si>
  <si>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</si>
  <si>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</si>
  <si>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</si>
  <si>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</si>
  <si>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</si>
  <si>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</si>
  <si>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</si>
  <si>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</si>
  <si>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</si>
  <si>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</si>
  <si>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</si>
  <si>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</si>
  <si>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</si>
  <si>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</si>
  <si>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</si>
  <si>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</si>
  <si>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</si>
  <si>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</si>
  <si>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</si>
  <si>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</si>
  <si>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</si>
  <si>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</si>
  <si>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</si>
  <si>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</si>
  <si>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</si>
  <si>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</si>
  <si>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</si>
  <si>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</si>
  <si>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</si>
  <si>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</si>
  <si>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</si>
  <si>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</si>
  <si>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</si>
  <si>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</si>
  <si>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</si>
  <si>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</si>
  <si>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</si>
  <si>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</si>
  <si>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</si>
  <si>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</si>
  <si>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</si>
  <si>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</si>
  <si>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</si>
  <si>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</si>
  <si>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</si>
  <si>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</si>
  <si>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</si>
  <si>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</si>
  <si>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</si>
  <si>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</si>
  <si>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</si>
  <si>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</si>
  <si>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</si>
  <si>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</si>
  <si>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</si>
  <si>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</si>
  <si>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</si>
  <si>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</si>
  <si>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</si>
  <si>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</si>
  <si>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</si>
  <si>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</si>
  <si>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</si>
  <si>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</si>
  <si>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</si>
  <si>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</si>
  <si>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</si>
  <si>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</si>
  <si>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</si>
  <si>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</si>
  <si>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</si>
  <si>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</si>
  <si>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</si>
  <si>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</si>
  <si>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</si>
  <si>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</si>
  <si>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</si>
  <si>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</si>
  <si>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</si>
  <si>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</si>
  <si>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</si>
  <si>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</si>
  <si>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</si>
  <si>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</si>
  <si>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</si>
  <si>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</si>
  <si>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</si>
  <si>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</si>
  <si>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</si>
  <si>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</si>
  <si>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</si>
  <si>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</si>
  <si>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</si>
  <si>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</si>
  <si>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</si>
  <si>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</si>
  <si>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</si>
  <si>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</si>
  <si>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</si>
  <si>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</si>
  <si>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</si>
  <si>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</si>
  <si>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</si>
  <si>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</si>
  <si>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</si>
  <si>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</si>
  <si>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</si>
  <si>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</si>
  <si>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</si>
  <si>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</si>
  <si>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</si>
  <si>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</si>
  <si>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</si>
  <si>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</si>
  <si>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</si>
  <si>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</si>
  <si>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</si>
  <si>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</si>
  <si>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</si>
  <si>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</si>
  <si>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</si>
  <si>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</si>
  <si>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</si>
  <si>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</si>
  <si>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</si>
  <si>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</si>
  <si>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</si>
  <si>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</si>
  <si>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</si>
  <si>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</si>
  <si>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</si>
  <si>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</si>
  <si>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</si>
  <si>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</si>
  <si>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</si>
  <si>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</si>
  <si>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</si>
  <si>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</si>
  <si>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</si>
  <si>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</si>
  <si>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</si>
  <si>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</si>
  <si>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</si>
  <si>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</si>
  <si>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</si>
  <si>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</si>
  <si>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</si>
  <si>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</si>
  <si>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</si>
  <si>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</si>
  <si>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</si>
  <si>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</si>
  <si>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</si>
  <si>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</si>
  <si>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</si>
  <si>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</si>
  <si>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</si>
  <si>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</si>
  <si>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</si>
  <si>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</si>
  <si>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</si>
  <si>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</si>
  <si>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</si>
  <si>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</si>
  <si>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</si>
  <si>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</si>
  <si>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</si>
  <si>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</si>
  <si>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</si>
  <si>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</si>
  <si>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</si>
  <si>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</si>
  <si>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</si>
  <si>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</si>
  <si>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</si>
  <si>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</si>
  <si>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</si>
  <si>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</si>
  <si>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</si>
  <si>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</si>
  <si>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</si>
  <si>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</si>
  <si>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</si>
  <si>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</si>
  <si>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</si>
  <si>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</si>
  <si>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</si>
  <si>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</si>
  <si>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</si>
  <si>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</si>
  <si>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</si>
  <si>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</si>
  <si>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</si>
  <si>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</si>
  <si>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</si>
  <si>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</si>
  <si>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</si>
  <si>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</si>
  <si>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</si>
  <si>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</si>
  <si>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</si>
  <si>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</si>
  <si>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</si>
  <si>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</si>
  <si>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</si>
  <si>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</si>
  <si>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</si>
  <si>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</si>
  <si>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</si>
  <si>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</si>
  <si>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</si>
  <si>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</si>
  <si>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</si>
  <si>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</si>
  <si>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</si>
  <si>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</si>
  <si>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</si>
  <si>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</si>
  <si>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</si>
  <si>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</si>
  <si>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</si>
  <si>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</si>
  <si>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</si>
  <si>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</si>
  <si>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</si>
  <si>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</si>
  <si>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</si>
  <si>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</si>
  <si>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</si>
  <si>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</si>
  <si>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</si>
  <si>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</si>
  <si>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</si>
  <si>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</si>
  <si>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</si>
  <si>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</si>
  <si>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</si>
  <si>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</si>
  <si>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</si>
  <si>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</si>
  <si>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</si>
  <si>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</si>
  <si>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</si>
  <si>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</si>
  <si>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</si>
  <si>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</si>
  <si>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</si>
  <si>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</si>
  <si>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</si>
  <si>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</si>
  <si>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</si>
  <si>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</si>
  <si>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</si>
  <si>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</si>
  <si>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</si>
  <si>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</si>
  <si>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</si>
  <si>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</si>
  <si>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</si>
  <si>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</si>
  <si>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</si>
  <si>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</si>
  <si>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</si>
  <si>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</si>
  <si>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</si>
  <si>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</si>
  <si>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</si>
  <si>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</si>
  <si>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</si>
  <si>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</si>
  <si>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</si>
  <si>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</si>
  <si>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</si>
  <si>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</si>
  <si>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</si>
  <si>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</si>
  <si>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</si>
  <si>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</si>
  <si>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</si>
  <si>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</si>
  <si>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</si>
  <si>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</si>
  <si>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</si>
  <si>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</si>
  <si>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</si>
  <si>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</si>
  <si>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</si>
  <si>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</si>
  <si>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</si>
  <si>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</si>
  <si>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</si>
  <si>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</si>
  <si>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</si>
  <si>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</si>
  <si>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</si>
  <si>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</si>
  <si>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</si>
  <si>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</si>
  <si>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</si>
  <si>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</si>
  <si>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</si>
  <si>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</si>
  <si>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</si>
  <si>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</si>
  <si>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</si>
  <si>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</si>
  <si>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</si>
  <si>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</si>
  <si>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</si>
  <si>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</si>
  <si>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</si>
  <si>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</si>
  <si>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</si>
  <si>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</si>
  <si>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</si>
  <si>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</si>
  <si>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</si>
  <si>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</si>
  <si>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</si>
  <si>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</si>
  <si>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</si>
  <si>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</si>
  <si>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</si>
  <si>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</si>
  <si>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</si>
  <si>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</si>
  <si>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</si>
  <si>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</si>
  <si>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</si>
  <si>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</si>
  <si>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</si>
  <si>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</si>
  <si>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</si>
  <si>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</si>
  <si>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</si>
  <si>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</si>
  <si>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</si>
  <si>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</si>
  <si>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</si>
  <si>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</si>
  <si>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</si>
  <si>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</si>
  <si>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</si>
  <si>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</si>
  <si>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</si>
  <si>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</si>
  <si>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</si>
  <si>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</si>
  <si>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</si>
  <si>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</si>
  <si>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</si>
  <si>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</si>
  <si>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</si>
  <si>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</si>
  <si>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</si>
  <si>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</si>
  <si>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</si>
  <si>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</si>
  <si>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</si>
  <si>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</si>
  <si>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</si>
  <si>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</si>
  <si>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</si>
  <si>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</si>
  <si>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</si>
  <si>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</si>
  <si>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</si>
  <si>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</si>
  <si>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</si>
  <si>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</si>
  <si>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</si>
  <si>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</si>
  <si>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</si>
  <si>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</si>
  <si>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</si>
  <si>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</si>
  <si>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</si>
  <si>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</si>
  <si>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</si>
  <si>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</si>
  <si>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</si>
  <si>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</si>
  <si>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</si>
  <si>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</si>
  <si>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</si>
  <si>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</si>
  <si>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</si>
  <si>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</si>
  <si>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</si>
  <si>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</si>
  <si>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</si>
  <si>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</si>
  <si>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</si>
  <si>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</si>
  <si>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</si>
  <si>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</si>
  <si>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</si>
  <si>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</si>
  <si>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</si>
  <si>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</si>
  <si>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</si>
  <si>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</si>
  <si>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</si>
  <si>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</si>
  <si>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</si>
  <si>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</si>
  <si>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</si>
  <si>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</si>
  <si>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</si>
  <si>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</si>
  <si>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</si>
  <si>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</si>
  <si>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</si>
  <si>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</si>
  <si>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</si>
  <si>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</si>
  <si>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</si>
  <si>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</si>
  <si>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</si>
  <si>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</si>
  <si>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</si>
  <si>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</si>
  <si>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</si>
  <si>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</si>
  <si>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</si>
  <si>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</si>
  <si>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</si>
  <si>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</si>
  <si>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</si>
  <si>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</si>
  <si>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</si>
  <si>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</si>
  <si>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</si>
  <si>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</si>
  <si>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</si>
  <si>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</si>
  <si>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</si>
  <si>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</si>
  <si>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</si>
  <si>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</si>
  <si>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</si>
  <si>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</si>
  <si>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</si>
  <si>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</si>
  <si>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</si>
  <si>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</si>
  <si>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</si>
  <si>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</si>
  <si>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</si>
  <si>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</si>
  <si>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</si>
  <si>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</si>
  <si>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</si>
  <si>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</si>
  <si>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</si>
  <si>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</si>
  <si>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</si>
  <si>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</si>
  <si>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</si>
  <si>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</si>
  <si>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</si>
  <si>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</si>
  <si>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</si>
  <si>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</si>
  <si>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</si>
  <si>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</si>
  <si>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</si>
  <si>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</si>
  <si>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</si>
  <si>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</si>
  <si>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</si>
  <si>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</si>
  <si>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</si>
  <si>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</si>
  <si>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</si>
  <si>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</si>
  <si>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</si>
  <si>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</si>
  <si>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</si>
  <si>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</si>
  <si>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</si>
  <si>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</si>
  <si>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</si>
  <si>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</si>
  <si>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</si>
  <si>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</si>
  <si>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</si>
  <si>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</si>
  <si>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</si>
  <si>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</si>
  <si>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</si>
  <si>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</si>
  <si>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</si>
  <si>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</si>
  <si>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</si>
  <si>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</si>
  <si>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</si>
  <si>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</si>
  <si>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</si>
  <si>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</si>
  <si>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</si>
  <si>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</si>
  <si>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</si>
  <si>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</si>
  <si>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</si>
  <si>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</si>
  <si>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</si>
  <si>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</si>
  <si>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</si>
  <si>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</si>
  <si>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</si>
  <si>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</si>
  <si>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</si>
  <si>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</si>
  <si>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</si>
  <si>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</si>
  <si>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</si>
  <si>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</si>
  <si>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</si>
  <si>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</si>
  <si>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</si>
  <si>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</si>
  <si>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</si>
  <si>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</si>
  <si>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</si>
  <si>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</si>
  <si>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</si>
  <si>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</si>
  <si>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</si>
  <si>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</si>
  <si>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</si>
  <si>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</si>
  <si>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</si>
  <si>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</si>
  <si>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</si>
  <si>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</si>
  <si>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</si>
  <si>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</si>
  <si>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</si>
  <si>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</si>
  <si>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</si>
  <si>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</si>
  <si>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</si>
  <si>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</si>
  <si>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</si>
  <si>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</si>
  <si>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</si>
  <si>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</si>
  <si>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</si>
  <si>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</si>
  <si>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</si>
  <si>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</si>
  <si>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</si>
  <si>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</si>
  <si>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</si>
  <si>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</si>
  <si>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</si>
  <si>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</si>
  <si>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</si>
  <si>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</si>
  <si>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</si>
  <si>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</si>
  <si>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</si>
  <si>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</si>
  <si>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</si>
  <si>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</si>
  <si>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</si>
  <si>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</si>
  <si>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</si>
  <si>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</si>
  <si>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</si>
  <si>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</si>
  <si>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</si>
  <si>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</si>
  <si>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</si>
  <si>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</si>
  <si>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</si>
  <si>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</si>
  <si>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</si>
  <si>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</si>
  <si>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</si>
  <si>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</si>
  <si>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</si>
  <si>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</si>
  <si>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</si>
  <si>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</si>
  <si>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</si>
  <si>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</si>
  <si>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</si>
  <si>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</si>
  <si>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</si>
  <si>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</si>
  <si>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Working Cash Bonds</t>
  </si>
  <si>
    <t>Refunding Bonds</t>
  </si>
  <si>
    <t>Floyd &amp; Associates, CPAs</t>
  </si>
  <si>
    <t>X</t>
  </si>
  <si>
    <t>x</t>
  </si>
  <si>
    <t>Warrensburg-Latham CUSD #11, Argenta-Oreana CUSD #1, Lutheran School Assoc</t>
  </si>
  <si>
    <t>Heartland Vocational District</t>
  </si>
  <si>
    <t>Quality Network Solutions</t>
  </si>
  <si>
    <t>Macon-Piatt Special Education District</t>
  </si>
  <si>
    <t>ED-Health Services-Purchased Services</t>
  </si>
  <si>
    <t>DMH health services</t>
  </si>
  <si>
    <t>ED-Instruction-Purchased Services</t>
  </si>
  <si>
    <t>ED-Data Processing Services-Purchased Services</t>
  </si>
  <si>
    <t>Skyward Software</t>
  </si>
  <si>
    <t>Page 11, Line 107:</t>
  </si>
  <si>
    <t xml:space="preserve">      </t>
  </si>
  <si>
    <t xml:space="preserve">    SAP</t>
  </si>
  <si>
    <t xml:space="preserve">     E-Rate Program</t>
  </si>
  <si>
    <t xml:space="preserve">  Debt Service Fund</t>
  </si>
  <si>
    <t xml:space="preserve">  Transportation Fund</t>
  </si>
  <si>
    <t>Page 18, Line 171</t>
  </si>
  <si>
    <t xml:space="preserve">  </t>
  </si>
  <si>
    <t xml:space="preserve">  Education Fund</t>
  </si>
  <si>
    <t xml:space="preserve">    Miscellanous Income</t>
  </si>
  <si>
    <t xml:space="preserve">  Operations &amp; Maintenance Fund</t>
  </si>
  <si>
    <t xml:space="preserve">    Sale of Property</t>
  </si>
  <si>
    <t xml:space="preserve">    Sales Tax revenue</t>
  </si>
  <si>
    <t xml:space="preserve">    Other Revenue</t>
  </si>
  <si>
    <t xml:space="preserve">    Bond Fees</t>
  </si>
  <si>
    <t>MACON</t>
  </si>
  <si>
    <t>PO BOX 738</t>
  </si>
  <si>
    <t>JOHN AHLEMEYER</t>
  </si>
  <si>
    <t>217-794-3437</t>
  </si>
  <si>
    <t>217-794-3837</t>
  </si>
  <si>
    <t>FLOYD &amp; ASSOCIATES, CPAS</t>
  </si>
  <si>
    <t>JULIE M. FLOYD</t>
  </si>
  <si>
    <t>910 STATE HWY 54 EAST</t>
  </si>
  <si>
    <t>CLINTON</t>
  </si>
  <si>
    <t>217-935-8871</t>
  </si>
  <si>
    <t>217-935-5711</t>
  </si>
  <si>
    <t>066-004385</t>
  </si>
  <si>
    <t>JULIE@FLOYDCPAS.COM</t>
  </si>
  <si>
    <t>JOHN.AHLEMEYER@MFSCHOOLS.NET</t>
  </si>
  <si>
    <t>IL</t>
  </si>
  <si>
    <t>MAROA</t>
  </si>
  <si>
    <t xml:space="preserve">   Maroa Forsyth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</si>
</sst>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57" fillId="0" borderId="0" xfId="0"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123825</xdr:rowOff>
        </xdr:from>
        <xdr:to>
          <xdr:col>1</xdr:col>
          <xdr:colOff>971550</xdr:colOff>
          <xdr:row>6</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1117023</xdr:colOff>
          <xdr:row>1</xdr:row>
          <xdr:rowOff>121227</xdr:rowOff>
        </xdr:from>
        <xdr:to>
          <xdr:col>1</xdr:col>
          <xdr:colOff>2031423</xdr:colOff>
          <xdr:row>6</xdr:row>
          <xdr:rowOff>80530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2D2A0E1-C159-4C24-907C-BC43D7698F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B6" sqref="B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2055</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2054</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39055002026</v>
      </c>
      <c r="B13" s="2088"/>
      <c r="C13" s="2088"/>
      <c r="D13" s="2088"/>
      <c r="E13" s="2088"/>
      <c r="F13" s="2088"/>
      <c r="G13" s="2088"/>
      <c r="H13" s="2089"/>
      <c r="I13" s="31"/>
      <c r="J13" s="30"/>
      <c r="K13" s="28"/>
      <c r="L13" s="30"/>
      <c r="M13" s="30"/>
      <c r="N13" s="30"/>
      <c r="O13" s="30"/>
      <c r="P13" s="30"/>
      <c r="Q13" s="30"/>
      <c r="R13" s="30"/>
      <c r="S13" s="30"/>
      <c r="T13" s="2092" t="s">
        <v>2085</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2080</v>
      </c>
      <c r="B15" s="2090"/>
      <c r="C15" s="2090"/>
      <c r="D15" s="2090"/>
      <c r="E15" s="2090"/>
      <c r="F15" s="2090"/>
      <c r="G15" s="2090"/>
      <c r="H15" s="2091"/>
      <c r="T15" s="2053" t="s">
        <v>2086</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2096</v>
      </c>
      <c r="B17" s="2115"/>
      <c r="C17" s="2115"/>
      <c r="D17" s="2115"/>
      <c r="E17" s="2115"/>
      <c r="F17" s="2115"/>
      <c r="G17" s="2115"/>
      <c r="H17" s="2116"/>
      <c r="T17" s="2102" t="s">
        <v>2087</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2081</v>
      </c>
      <c r="B19" s="2086"/>
      <c r="C19" s="2086"/>
      <c r="D19" s="2086"/>
      <c r="E19" s="2086"/>
      <c r="F19" s="2086"/>
      <c r="G19" s="2086"/>
      <c r="H19" s="2084"/>
      <c r="I19" s="30"/>
      <c r="J19" s="96"/>
      <c r="K19" s="40"/>
      <c r="L19" s="38"/>
      <c r="M19" s="109" t="s">
        <v>312</v>
      </c>
      <c r="P19" s="27"/>
      <c r="Q19" s="27"/>
      <c r="R19" s="27"/>
      <c r="S19" s="31"/>
      <c r="T19" s="2085" t="s">
        <v>2088</v>
      </c>
      <c r="U19" s="2083"/>
      <c r="V19" s="2083"/>
      <c r="W19" s="2084"/>
      <c r="X19" s="2100" t="s">
        <v>2094</v>
      </c>
      <c r="Y19" s="2101"/>
      <c r="Z19" s="2098">
        <v>61727</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2095</v>
      </c>
      <c r="B21" s="2083"/>
      <c r="C21" s="2083"/>
      <c r="D21" s="2083"/>
      <c r="E21" s="2083"/>
      <c r="F21" s="2083"/>
      <c r="G21" s="2083"/>
      <c r="H21" s="2084"/>
      <c r="I21" s="2108" t="s">
        <v>673</v>
      </c>
      <c r="J21" s="2071"/>
      <c r="K21" s="2071"/>
      <c r="L21" s="2071"/>
      <c r="M21" s="2071"/>
      <c r="N21" s="2071"/>
      <c r="O21" s="2071"/>
      <c r="P21" s="2071"/>
      <c r="Q21" s="2071"/>
      <c r="R21" s="2071"/>
      <c r="S21" s="2072"/>
      <c r="T21" s="2050" t="s">
        <v>2089</v>
      </c>
      <c r="U21" s="2051"/>
      <c r="V21" s="2051"/>
      <c r="W21" s="2051"/>
      <c r="X21" s="2064" t="s">
        <v>2090</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2093</v>
      </c>
      <c r="B23" s="2106"/>
      <c r="C23" s="2106"/>
      <c r="D23" s="2106"/>
      <c r="E23" s="2106"/>
      <c r="F23" s="2106"/>
      <c r="G23" s="2106"/>
      <c r="H23" s="2107"/>
      <c r="T23" s="2045" t="s">
        <v>2091</v>
      </c>
      <c r="U23" s="2046"/>
      <c r="V23" s="2046"/>
      <c r="W23" s="2046"/>
      <c r="X23" s="2061"/>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61756</v>
      </c>
      <c r="B25" s="2083"/>
      <c r="C25" s="2083"/>
      <c r="D25" s="2083"/>
      <c r="E25" s="2083"/>
      <c r="F25" s="2083"/>
      <c r="G25" s="2083"/>
      <c r="H25" s="2084"/>
      <c r="I25" s="110"/>
      <c r="J25" s="2149"/>
      <c r="K25" s="2149"/>
      <c r="L25" s="2149"/>
      <c r="M25" s="2149"/>
      <c r="N25" s="2149"/>
      <c r="O25" s="2149"/>
      <c r="P25" s="2149"/>
      <c r="Q25" s="2149"/>
      <c r="R25" s="2149"/>
      <c r="S25" s="2150"/>
      <c r="T25" s="2042" t="s">
        <v>2092</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2054</v>
      </c>
      <c r="M29" s="40" t="s">
        <v>99</v>
      </c>
      <c r="N29" s="32" t="s">
        <v>1506</v>
      </c>
      <c r="O29" s="32"/>
      <c r="P29" s="32"/>
      <c r="Q29" s="32"/>
      <c r="R29" s="32"/>
      <c r="S29" s="120"/>
      <c r="T29" s="6"/>
      <c r="U29" s="6"/>
      <c r="V29" s="6"/>
      <c r="W29" s="6"/>
      <c r="X29" s="6"/>
      <c r="Y29" s="6"/>
      <c r="Z29" s="6"/>
      <c r="AA29" s="129"/>
    </row>
    <row r="30" spans="1:27" ht="13.5" customHeight="1" x14ac:dyDescent="0.2">
      <c r="A30" s="149"/>
      <c r="B30" s="133" t="s">
        <v>2054</v>
      </c>
      <c r="C30" s="121" t="s">
        <v>1154</v>
      </c>
      <c r="D30" s="28"/>
      <c r="E30" s="28"/>
      <c r="F30" s="136"/>
      <c r="G30" s="111"/>
      <c r="H30" s="111"/>
      <c r="I30" s="51"/>
      <c r="J30" s="99"/>
      <c r="K30" s="28" t="s">
        <v>572</v>
      </c>
      <c r="L30" s="144" t="s">
        <v>2054</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2054</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2082</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2093</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2083</v>
      </c>
      <c r="B42" s="2132"/>
      <c r="C42" s="2133"/>
      <c r="D42" s="2146" t="s">
        <v>2084</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36" sqref="C3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5206841</v>
      </c>
      <c r="C4" s="1722"/>
      <c r="D4" s="1723">
        <f>B4-C4</f>
        <v>5206841</v>
      </c>
      <c r="E4" s="1722">
        <v>5181019</v>
      </c>
      <c r="F4" s="1723">
        <f>E4-C4</f>
        <v>5181019</v>
      </c>
    </row>
    <row r="5" spans="1:8" ht="13.7" customHeight="1" x14ac:dyDescent="0.2">
      <c r="A5" s="579" t="s">
        <v>865</v>
      </c>
      <c r="B5" s="1724">
        <f>'Revenues 9-14'!D5</f>
        <v>1131924</v>
      </c>
      <c r="C5" s="1664"/>
      <c r="D5" s="1725">
        <f t="shared" ref="D5:D18" si="0">B5-C5</f>
        <v>1131924</v>
      </c>
      <c r="E5" s="1664">
        <v>1135578</v>
      </c>
      <c r="F5" s="1725">
        <f>E5-C5</f>
        <v>1135578</v>
      </c>
    </row>
    <row r="6" spans="1:8" ht="13.7" customHeight="1" x14ac:dyDescent="0.2">
      <c r="A6" s="579" t="s">
        <v>408</v>
      </c>
      <c r="B6" s="1724">
        <f>'Revenues 9-14'!E5</f>
        <v>1264806</v>
      </c>
      <c r="C6" s="1664"/>
      <c r="D6" s="1725">
        <f t="shared" si="0"/>
        <v>1264806</v>
      </c>
      <c r="E6" s="1664">
        <v>1444276</v>
      </c>
      <c r="F6" s="1725">
        <f t="shared" ref="F6:F18" si="1">E6-C6</f>
        <v>1444276</v>
      </c>
    </row>
    <row r="7" spans="1:8" ht="13.7" customHeight="1" x14ac:dyDescent="0.2">
      <c r="A7" s="579" t="s">
        <v>154</v>
      </c>
      <c r="B7" s="1724">
        <f>'Revenues 9-14'!F5</f>
        <v>452769</v>
      </c>
      <c r="C7" s="1664"/>
      <c r="D7" s="1725">
        <f t="shared" si="0"/>
        <v>452769</v>
      </c>
      <c r="E7" s="1664">
        <v>454231</v>
      </c>
      <c r="F7" s="1725">
        <f t="shared" si="1"/>
        <v>454231</v>
      </c>
    </row>
    <row r="8" spans="1:8" ht="13.7" customHeight="1" x14ac:dyDescent="0.2">
      <c r="A8" s="579" t="s">
        <v>1169</v>
      </c>
      <c r="B8" s="1724">
        <f>'Revenues 9-14'!G5</f>
        <v>131825</v>
      </c>
      <c r="C8" s="1664"/>
      <c r="D8" s="1725">
        <f t="shared" si="0"/>
        <v>131825</v>
      </c>
      <c r="E8" s="1664">
        <v>75016</v>
      </c>
      <c r="F8" s="1725">
        <f t="shared" si="1"/>
        <v>75016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113193</v>
      </c>
      <c r="C10" s="1664"/>
      <c r="D10" s="1725">
        <f t="shared" si="0"/>
        <v>113193</v>
      </c>
      <c r="E10" s="1664">
        <v>113558</v>
      </c>
      <c r="F10" s="1725">
        <f t="shared" si="1"/>
        <v>113558</v>
      </c>
    </row>
    <row r="11" spans="1:8" x14ac:dyDescent="0.2">
      <c r="A11" s="579" t="s">
        <v>406</v>
      </c>
      <c r="B11" s="1724">
        <f>'Revenues 9-14'!J5</f>
        <v>499265</v>
      </c>
      <c r="C11" s="1664"/>
      <c r="D11" s="1725">
        <f t="shared" si="0"/>
        <v>499265</v>
      </c>
      <c r="E11" s="1664">
        <v>610010</v>
      </c>
      <c r="F11" s="1725">
        <f t="shared" si="1"/>
        <v>610010</v>
      </c>
    </row>
    <row r="12" spans="1:8" ht="13.7" customHeight="1" x14ac:dyDescent="0.2">
      <c r="A12" s="579" t="s">
        <v>156</v>
      </c>
      <c r="B12" s="1724">
        <f>'Revenues 9-14'!K5</f>
        <v>113193</v>
      </c>
      <c r="C12" s="1664"/>
      <c r="D12" s="1725">
        <f t="shared" si="0"/>
        <v>113193</v>
      </c>
      <c r="E12" s="1664">
        <v>113558</v>
      </c>
      <c r="F12" s="1725">
        <f t="shared" si="1"/>
        <v>113558</v>
      </c>
    </row>
    <row r="13" spans="1:8" ht="13.7" customHeight="1" x14ac:dyDescent="0.2">
      <c r="A13" s="579" t="s">
        <v>930</v>
      </c>
      <c r="B13" s="1724">
        <f>SUM('Revenues 9-14'!C6:D6)</f>
        <v>113193</v>
      </c>
      <c r="C13" s="1664"/>
      <c r="D13" s="1725">
        <f t="shared" si="0"/>
        <v>113193</v>
      </c>
      <c r="E13" s="1664">
        <v>113558</v>
      </c>
      <c r="F13" s="1725">
        <f t="shared" si="1"/>
        <v>113558</v>
      </c>
    </row>
    <row r="14" spans="1:8" ht="13.7" customHeight="1" x14ac:dyDescent="0.2">
      <c r="A14" s="579" t="s">
        <v>407</v>
      </c>
      <c r="B14" s="1724">
        <f>SUM('Revenues 9-14'!C7:D7,'Revenues 9-14'!F7:H7)</f>
        <v>90552</v>
      </c>
      <c r="C14" s="1664"/>
      <c r="D14" s="1725">
        <f t="shared" si="0"/>
        <v>90552</v>
      </c>
      <c r="E14" s="1664">
        <v>90846</v>
      </c>
      <c r="F14" s="1725">
        <f t="shared" si="1"/>
        <v>90846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239650</v>
      </c>
      <c r="C16" s="1664"/>
      <c r="D16" s="1725">
        <f t="shared" si="0"/>
        <v>239650</v>
      </c>
      <c r="E16" s="1664">
        <v>150010</v>
      </c>
      <c r="F16" s="1725">
        <f t="shared" si="1"/>
        <v>150010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9357211</v>
      </c>
      <c r="C19" s="1726">
        <f>SUM(C4:C18)</f>
        <v>0</v>
      </c>
      <c r="D19" s="1726">
        <f>SUM(D4:D18)</f>
        <v>9357211</v>
      </c>
      <c r="E19" s="1726">
        <f>SUM(E4:E18)</f>
        <v>9481660</v>
      </c>
      <c r="F19" s="1726">
        <f>SUM(F4:F18)</f>
        <v>9481660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7" sqref="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2051</v>
      </c>
      <c r="B31" s="595">
        <v>39479</v>
      </c>
      <c r="C31" s="1734">
        <v>3235000</v>
      </c>
      <c r="D31" s="1735">
        <v>1</v>
      </c>
      <c r="E31" s="1734">
        <v>965000</v>
      </c>
      <c r="F31" s="1734"/>
      <c r="G31" s="1734"/>
      <c r="H31" s="1734">
        <v>460000</v>
      </c>
      <c r="I31" s="1736">
        <f>((E31+F31)-H31)+G31</f>
        <v>505000</v>
      </c>
      <c r="J31" s="1734">
        <v>483302</v>
      </c>
      <c r="K31" s="596"/>
    </row>
    <row r="32" spans="1:11" ht="12" customHeight="1" x14ac:dyDescent="0.2">
      <c r="A32" s="594" t="s">
        <v>2052</v>
      </c>
      <c r="B32" s="595">
        <v>40299</v>
      </c>
      <c r="C32" s="1734">
        <v>5615000</v>
      </c>
      <c r="D32" s="1735">
        <v>3</v>
      </c>
      <c r="E32" s="1734">
        <v>1610000</v>
      </c>
      <c r="F32" s="1734"/>
      <c r="G32" s="1734"/>
      <c r="H32" s="1734">
        <v>665000</v>
      </c>
      <c r="I32" s="1736">
        <f>((E32+F32)-H32)+G32</f>
        <v>945000</v>
      </c>
      <c r="J32" s="1734">
        <v>945000</v>
      </c>
      <c r="K32" s="596"/>
    </row>
    <row r="33" spans="1:11" ht="12" customHeight="1" x14ac:dyDescent="0.2">
      <c r="A33" s="594" t="s">
        <v>2051</v>
      </c>
      <c r="B33" s="595">
        <v>41306</v>
      </c>
      <c r="C33" s="1734">
        <v>1135000</v>
      </c>
      <c r="D33" s="1735">
        <v>1</v>
      </c>
      <c r="E33" s="1734">
        <v>1015000</v>
      </c>
      <c r="F33" s="1734"/>
      <c r="G33" s="1734"/>
      <c r="H33" s="1734"/>
      <c r="I33" s="1736">
        <f t="shared" ref="I33:I48" si="1">((E33+F33)-H33)+G33</f>
        <v>1015000</v>
      </c>
      <c r="J33" s="1734">
        <v>1015000</v>
      </c>
      <c r="K33" s="596"/>
    </row>
    <row r="34" spans="1:11" ht="12" customHeight="1" x14ac:dyDescent="0.2">
      <c r="A34" s="594" t="s">
        <v>2052</v>
      </c>
      <c r="B34" s="595">
        <v>42783</v>
      </c>
      <c r="C34" s="1734">
        <v>2025000</v>
      </c>
      <c r="D34" s="1735">
        <v>3</v>
      </c>
      <c r="E34" s="1734">
        <v>1035000</v>
      </c>
      <c r="F34" s="1734"/>
      <c r="G34" s="1734"/>
      <c r="H34" s="1734">
        <v>930000</v>
      </c>
      <c r="I34" s="1736">
        <f t="shared" si="1"/>
        <v>105000</v>
      </c>
      <c r="J34" s="1734">
        <v>105000</v>
      </c>
      <c r="K34" s="597"/>
    </row>
    <row r="35" spans="1:11" ht="12" customHeight="1" x14ac:dyDescent="0.2">
      <c r="A35" s="594" t="s">
        <v>2052</v>
      </c>
      <c r="B35" s="595">
        <v>42783</v>
      </c>
      <c r="C35" s="1737">
        <v>9590000</v>
      </c>
      <c r="D35" s="1735">
        <v>3</v>
      </c>
      <c r="E35" s="1737">
        <v>9590000</v>
      </c>
      <c r="F35" s="1737"/>
      <c r="G35" s="1737"/>
      <c r="H35" s="1737"/>
      <c r="I35" s="1736">
        <f t="shared" si="1"/>
        <v>9590000</v>
      </c>
      <c r="J35" s="1737">
        <v>9590000</v>
      </c>
      <c r="K35" s="597"/>
    </row>
    <row r="36" spans="1:11" ht="12" customHeight="1" x14ac:dyDescent="0.2">
      <c r="A36" s="594" t="s">
        <v>2051</v>
      </c>
      <c r="B36" s="595">
        <v>43509</v>
      </c>
      <c r="C36" s="1734">
        <v>1000000</v>
      </c>
      <c r="D36" s="1735">
        <v>1</v>
      </c>
      <c r="E36" s="1734">
        <v>1000000</v>
      </c>
      <c r="F36" s="1734"/>
      <c r="G36" s="1734"/>
      <c r="H36" s="1734">
        <v>333000</v>
      </c>
      <c r="I36" s="1736">
        <f t="shared" si="1"/>
        <v>667000</v>
      </c>
      <c r="J36" s="1734">
        <v>667000</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22600000</v>
      </c>
      <c r="D49" s="1742"/>
      <c r="E49" s="1736">
        <f t="shared" ref="E49:J49" si="2">SUM(E31:E48)</f>
        <v>15215000</v>
      </c>
      <c r="F49" s="1736">
        <f t="shared" si="2"/>
        <v>0</v>
      </c>
      <c r="G49" s="1736">
        <f t="shared" si="2"/>
        <v>0</v>
      </c>
      <c r="H49" s="1736">
        <f t="shared" si="2"/>
        <v>2388000</v>
      </c>
      <c r="I49" s="1736">
        <f t="shared" si="2"/>
        <v>12827000</v>
      </c>
      <c r="J49" s="1736">
        <f t="shared" si="2"/>
        <v>12805302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v>113503</v>
      </c>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90552</v>
      </c>
      <c r="I5" s="1750"/>
      <c r="J5" s="1751"/>
      <c r="K5" s="1751"/>
    </row>
    <row r="6" spans="1:11" x14ac:dyDescent="0.2">
      <c r="A6" s="625" t="s">
        <v>715</v>
      </c>
      <c r="B6" s="626"/>
      <c r="C6" s="626"/>
      <c r="D6" s="626"/>
      <c r="E6" s="627"/>
      <c r="F6" s="628" t="s">
        <v>844</v>
      </c>
      <c r="G6" s="1744"/>
      <c r="H6" s="1744"/>
      <c r="I6" s="1744"/>
      <c r="J6" s="1745">
        <v>708103</v>
      </c>
      <c r="K6" s="1745"/>
    </row>
    <row r="7" spans="1:11" x14ac:dyDescent="0.2">
      <c r="A7" s="629" t="s">
        <v>244</v>
      </c>
      <c r="B7" s="630"/>
      <c r="C7" s="630"/>
      <c r="D7" s="630"/>
      <c r="E7" s="631"/>
      <c r="F7" s="622" t="s">
        <v>845</v>
      </c>
      <c r="G7" s="1746"/>
      <c r="H7" s="1746"/>
      <c r="I7" s="1746"/>
      <c r="J7" s="1752"/>
      <c r="K7" s="1745">
        <v>10440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10710</v>
      </c>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90552</v>
      </c>
      <c r="I12" s="1755">
        <f>SUM(I5:I11)</f>
        <v>0</v>
      </c>
      <c r="J12" s="1755">
        <f>SUM(J5:J11)</f>
        <v>708103</v>
      </c>
      <c r="K12" s="1755">
        <f>SUM(K5:K11)</f>
        <v>21150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90552</v>
      </c>
      <c r="I14" s="1749"/>
      <c r="J14" s="1751"/>
      <c r="K14" s="1745">
        <v>21150</v>
      </c>
    </row>
    <row r="15" spans="1:11" x14ac:dyDescent="0.2">
      <c r="A15" s="2320" t="s">
        <v>4</v>
      </c>
      <c r="B15" s="2320"/>
      <c r="C15" s="2320"/>
      <c r="D15" s="2320"/>
      <c r="E15" s="2350"/>
      <c r="F15" s="635" t="s">
        <v>850</v>
      </c>
      <c r="G15" s="1749"/>
      <c r="H15" s="1744"/>
      <c r="I15" s="1744"/>
      <c r="J15" s="1745">
        <v>100293</v>
      </c>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v>56313</v>
      </c>
      <c r="K18" s="1763"/>
    </row>
    <row r="19" spans="1:15" ht="21.75" customHeight="1" x14ac:dyDescent="0.2">
      <c r="A19" s="2357" t="s">
        <v>1786</v>
      </c>
      <c r="B19" s="2357"/>
      <c r="C19" s="2357"/>
      <c r="D19" s="2357"/>
      <c r="E19" s="2358"/>
      <c r="F19" s="635" t="s">
        <v>927</v>
      </c>
      <c r="G19" s="1753"/>
      <c r="H19" s="1753"/>
      <c r="I19" s="1753"/>
      <c r="J19" s="1745">
        <v>665000</v>
      </c>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721313</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90552</v>
      </c>
      <c r="I23" s="1755">
        <f>SUM(I14:I16,I21,I22)</f>
        <v>0</v>
      </c>
      <c r="J23" s="1755">
        <f>SUM(J14:J16,J21,J22)</f>
        <v>821606</v>
      </c>
      <c r="K23" s="1755">
        <f>SUM(K14:K16,K21,K22)</f>
        <v>21150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v>391371</v>
      </c>
      <c r="D6" s="1745"/>
      <c r="E6" s="1745"/>
      <c r="F6" s="1765">
        <f>(C6+D6)-E6</f>
        <v>391371</v>
      </c>
      <c r="G6" s="676">
        <v>50</v>
      </c>
      <c r="H6" s="619"/>
      <c r="I6" s="619"/>
      <c r="J6" s="619"/>
      <c r="K6" s="1442">
        <f>(H6+I6)-J6</f>
        <v>0</v>
      </c>
      <c r="L6" s="1442">
        <f>F6-K6</f>
        <v>391371</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31563909</v>
      </c>
      <c r="D8" s="1771"/>
      <c r="E8" s="1771"/>
      <c r="F8" s="1765">
        <f>(C8+D8)-E8</f>
        <v>31563909</v>
      </c>
      <c r="G8" s="681">
        <v>50</v>
      </c>
      <c r="H8" s="619">
        <v>9632915</v>
      </c>
      <c r="I8" s="619">
        <v>613384</v>
      </c>
      <c r="J8" s="619"/>
      <c r="K8" s="1442">
        <f>(H8+I8)-J8</f>
        <v>10246299</v>
      </c>
      <c r="L8" s="1442">
        <f>F8-K8</f>
        <v>21317610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2199766</v>
      </c>
      <c r="D10" s="1772">
        <v>3817</v>
      </c>
      <c r="E10" s="1772"/>
      <c r="F10" s="1773">
        <f>(C10+D10)-E10</f>
        <v>2203583</v>
      </c>
      <c r="G10" s="681">
        <v>20</v>
      </c>
      <c r="H10" s="683">
        <v>900701</v>
      </c>
      <c r="I10" s="683">
        <v>107899</v>
      </c>
      <c r="J10" s="683"/>
      <c r="K10" s="1442">
        <f>(H10+I10)-J10</f>
        <v>1008600</v>
      </c>
      <c r="L10" s="1442">
        <f>F10-K10</f>
        <v>1194983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3785076</v>
      </c>
      <c r="D12" s="1771">
        <v>349399</v>
      </c>
      <c r="E12" s="1771"/>
      <c r="F12" s="1765">
        <f>(C12+D12)-E12</f>
        <v>4134475</v>
      </c>
      <c r="G12" s="681">
        <v>10</v>
      </c>
      <c r="H12" s="619">
        <v>3272796</v>
      </c>
      <c r="I12" s="619">
        <v>140007</v>
      </c>
      <c r="J12" s="619"/>
      <c r="K12" s="1442">
        <f>(H12+I12)-J12</f>
        <v>3412803</v>
      </c>
      <c r="L12" s="1442">
        <f>F12-K12</f>
        <v>721672</v>
      </c>
    </row>
    <row r="13" spans="1:14" ht="14.25" thickTop="1" thickBot="1" x14ac:dyDescent="0.25">
      <c r="A13" s="684" t="s">
        <v>1112</v>
      </c>
      <c r="B13" s="679">
        <v>252</v>
      </c>
      <c r="C13" s="1771">
        <v>1889927</v>
      </c>
      <c r="D13" s="1771"/>
      <c r="E13" s="1771"/>
      <c r="F13" s="1765">
        <f>(C13+D13)-E13</f>
        <v>1889927</v>
      </c>
      <c r="G13" s="681">
        <v>5</v>
      </c>
      <c r="H13" s="619">
        <v>1808692</v>
      </c>
      <c r="I13" s="619">
        <v>28091</v>
      </c>
      <c r="J13" s="619"/>
      <c r="K13" s="1442">
        <f>(H13+I13)-J13</f>
        <v>1836783</v>
      </c>
      <c r="L13" s="1442">
        <f>F13-K13</f>
        <v>53144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39830049</v>
      </c>
      <c r="D16" s="1765">
        <f>SUM(D3,D5:D6,D8:D10,D12:D15)</f>
        <v>353216</v>
      </c>
      <c r="E16" s="1765">
        <f>SUM(E3,E5:E6,E8:E10,E12:E15)</f>
        <v>0</v>
      </c>
      <c r="F16" s="1765">
        <f>SUM(F3,F5:F6,F8:F10,F12:F15)</f>
        <v>40183265</v>
      </c>
      <c r="G16" s="681"/>
      <c r="H16" s="1435">
        <f>SUM(H3,H6,H8:H10,H12:H14,)</f>
        <v>15615104</v>
      </c>
      <c r="I16" s="1435">
        <f>SUM(I3,I6,I8:I10,I12:I14,)</f>
        <v>889381</v>
      </c>
      <c r="J16" s="1435">
        <f>SUM(J3,J6,J8:J10,J12:J14,)</f>
        <v>0</v>
      </c>
      <c r="K16" s="1435">
        <f>(H16+I16)-J16</f>
        <v>16504485</v>
      </c>
      <c r="L16" s="1435">
        <f>F16-K16</f>
        <v>23678780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224640</v>
      </c>
      <c r="G17" s="676">
        <v>10</v>
      </c>
      <c r="H17" s="621"/>
      <c r="I17" s="1442">
        <f>F17/G17</f>
        <v>22464</v>
      </c>
      <c r="J17" s="621"/>
      <c r="K17" s="638"/>
      <c r="L17" s="638"/>
    </row>
    <row r="18" spans="1:12" ht="14.25" thickTop="1" thickBot="1" x14ac:dyDescent="0.25">
      <c r="A18" s="1440" t="s">
        <v>680</v>
      </c>
      <c r="B18" s="1441"/>
      <c r="C18" s="623"/>
      <c r="D18" s="623"/>
      <c r="E18" s="623"/>
      <c r="F18" s="686"/>
      <c r="G18" s="687"/>
      <c r="H18" s="624"/>
      <c r="I18" s="1435">
        <f>SUM(I16,I17)</f>
        <v>911845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7807214</v>
      </c>
      <c r="G8" s="701"/>
    </row>
    <row r="9" spans="1:9" x14ac:dyDescent="0.2">
      <c r="A9" s="705" t="s">
        <v>457</v>
      </c>
      <c r="B9" s="706" t="s">
        <v>1848</v>
      </c>
      <c r="C9" s="707"/>
      <c r="D9" s="705" t="s">
        <v>498</v>
      </c>
      <c r="E9" s="704"/>
      <c r="F9" s="1775">
        <f>'Expenditures 15-22'!K151</f>
        <v>1485302</v>
      </c>
      <c r="G9" s="708"/>
    </row>
    <row r="10" spans="1:9" x14ac:dyDescent="0.2">
      <c r="A10" s="705" t="s">
        <v>496</v>
      </c>
      <c r="B10" s="706" t="s">
        <v>1849</v>
      </c>
      <c r="C10" s="707"/>
      <c r="D10" s="705" t="s">
        <v>498</v>
      </c>
      <c r="E10" s="704"/>
      <c r="F10" s="1775">
        <f>'Expenditures 15-22'!K174</f>
        <v>2920940</v>
      </c>
      <c r="G10" s="708"/>
    </row>
    <row r="11" spans="1:9" x14ac:dyDescent="0.2">
      <c r="A11" s="705" t="s">
        <v>458</v>
      </c>
      <c r="B11" s="706" t="s">
        <v>1850</v>
      </c>
      <c r="C11" s="707"/>
      <c r="D11" s="705" t="s">
        <v>498</v>
      </c>
      <c r="E11" s="704"/>
      <c r="F11" s="1775">
        <f>'Expenditures 15-22'!K210</f>
        <v>742991</v>
      </c>
      <c r="G11" s="708"/>
    </row>
    <row r="12" spans="1:9" x14ac:dyDescent="0.2">
      <c r="A12" s="705" t="s">
        <v>459</v>
      </c>
      <c r="B12" s="706" t="s">
        <v>1851</v>
      </c>
      <c r="C12" s="707"/>
      <c r="D12" s="705" t="s">
        <v>498</v>
      </c>
      <c r="E12" s="704"/>
      <c r="F12" s="1775">
        <f>'Expenditures 15-22'!K295</f>
        <v>334005</v>
      </c>
      <c r="G12" s="708"/>
    </row>
    <row r="13" spans="1:9" x14ac:dyDescent="0.2">
      <c r="A13" s="705" t="s">
        <v>106</v>
      </c>
      <c r="B13" s="706" t="s">
        <v>1852</v>
      </c>
      <c r="C13" s="707"/>
      <c r="D13" s="705" t="s">
        <v>498</v>
      </c>
      <c r="E13" s="704"/>
      <c r="F13" s="1775">
        <f>'Expenditures 15-22'!K342</f>
        <v>473969</v>
      </c>
      <c r="G13" s="709"/>
    </row>
    <row r="14" spans="1:9" ht="12" customHeight="1" thickBot="1" x14ac:dyDescent="0.25">
      <c r="A14" s="1443"/>
      <c r="B14" s="1444"/>
      <c r="C14" s="1445"/>
      <c r="D14" s="1446" t="s">
        <v>498</v>
      </c>
      <c r="E14" s="1447" t="s">
        <v>952</v>
      </c>
      <c r="F14" s="1776">
        <f>SUM(F8:F13)</f>
        <v>13764421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76178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537917</v>
      </c>
      <c r="G53" s="701"/>
    </row>
    <row r="54" spans="1:7" x14ac:dyDescent="0.2">
      <c r="A54" s="705" t="s">
        <v>456</v>
      </c>
      <c r="B54" s="705" t="s">
        <v>1459</v>
      </c>
      <c r="C54" s="724" t="s">
        <v>975</v>
      </c>
      <c r="D54" s="720" t="s">
        <v>1086</v>
      </c>
      <c r="E54" s="704"/>
      <c r="F54" s="1782">
        <f>'Expenditures 15-22'!G114</f>
        <v>59138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195754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2388000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224640</v>
      </c>
      <c r="G66" s="701"/>
    </row>
    <row r="67" spans="1:9" x14ac:dyDescent="0.2">
      <c r="A67" s="705" t="s">
        <v>459</v>
      </c>
      <c r="B67" s="705" t="s">
        <v>1863</v>
      </c>
      <c r="C67" s="721" t="str">
        <f>'Expenditures 15-22'!B216</f>
        <v>1125</v>
      </c>
      <c r="D67" s="727" t="str">
        <f>'Expenditures 15-22'!A216</f>
        <v>Pre-K Programs</v>
      </c>
      <c r="E67" s="704"/>
      <c r="F67" s="1782">
        <f>'Expenditures 15-22'!K216</f>
        <v>1412</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10494</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3493533</v>
      </c>
      <c r="G77" s="701"/>
    </row>
    <row r="78" spans="1:9" s="728" customFormat="1" ht="12" customHeight="1" thickTop="1" thickBot="1" x14ac:dyDescent="0.25">
      <c r="A78" s="1450"/>
      <c r="B78" s="1448"/>
      <c r="C78" s="1445"/>
      <c r="D78" s="1449" t="s">
        <v>2012</v>
      </c>
      <c r="E78" s="1447"/>
      <c r="F78" s="1788">
        <f>(F14-F77)</f>
        <v>10270888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1180</v>
      </c>
      <c r="G79" s="733"/>
      <c r="H79" s="705"/>
      <c r="I79" s="705"/>
    </row>
    <row r="80" spans="1:9" s="728" customFormat="1" ht="12" customHeight="1" thickBot="1" x14ac:dyDescent="0.25">
      <c r="A80" s="1452"/>
      <c r="B80" s="1448"/>
      <c r="C80" s="1445"/>
      <c r="D80" s="1449" t="s">
        <v>2013</v>
      </c>
      <c r="E80" s="1447" t="s">
        <v>952</v>
      </c>
      <c r="F80" s="1790">
        <f>IF(F79&gt;0,F78/F79," Complete Line 79")</f>
        <v>8704.1423728813552</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189750</v>
      </c>
      <c r="G95" s="745"/>
    </row>
    <row r="96" spans="1:7" x14ac:dyDescent="0.2">
      <c r="A96" s="741" t="s">
        <v>139</v>
      </c>
      <c r="B96" s="741" t="s">
        <v>174</v>
      </c>
      <c r="C96" s="743">
        <v>1700</v>
      </c>
      <c r="D96" s="751" t="str">
        <f>'Revenues 9-14'!A82</f>
        <v>Total District/School Activity Income</v>
      </c>
      <c r="E96" s="739"/>
      <c r="F96" s="1793">
        <f>SUM('Revenues 9-14'!C82,'Revenues 9-14'!D82)</f>
        <v>81273</v>
      </c>
      <c r="G96" s="745"/>
    </row>
    <row r="97" spans="1:7" x14ac:dyDescent="0.2">
      <c r="A97" s="741" t="s">
        <v>456</v>
      </c>
      <c r="B97" s="741" t="s">
        <v>175</v>
      </c>
      <c r="C97" s="743">
        <f>'Revenues 9-14'!B84</f>
        <v>1811</v>
      </c>
      <c r="D97" s="744" t="str">
        <f>'Revenues 9-14'!A84</f>
        <v>Rentals - Regular Textbooks</v>
      </c>
      <c r="E97" s="739"/>
      <c r="F97" s="1793">
        <f>'Revenues 9-14'!C84</f>
        <v>93390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94702</v>
      </c>
      <c r="G105" s="745"/>
    </row>
    <row r="106" spans="1:7" x14ac:dyDescent="0.2">
      <c r="A106" s="741" t="s">
        <v>500</v>
      </c>
      <c r="B106" s="741" t="s">
        <v>1910</v>
      </c>
      <c r="C106" s="746">
        <v>3100</v>
      </c>
      <c r="D106" s="752" t="str">
        <f>'Revenues 9-14'!A132</f>
        <v>Total Special Education</v>
      </c>
      <c r="E106" s="739"/>
      <c r="F106" s="1793">
        <f>SUM('Revenues 9-14'!C132:D132,'Revenues 9-14'!F132)</f>
        <v>14741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4510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590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10710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392405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67909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142170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10862</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192864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26584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5054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1327514</v>
      </c>
    </row>
    <row r="176" spans="1:7" ht="12" customHeight="1" x14ac:dyDescent="0.2">
      <c r="A176" s="1443"/>
      <c r="B176" s="1453"/>
      <c r="C176" s="1454"/>
      <c r="D176" s="1455" t="s">
        <v>2014</v>
      </c>
      <c r="E176" s="1456"/>
      <c r="F176" s="1793">
        <f>'PCTC-OEPP 27-28'!F78-F175</f>
        <v>8943374</v>
      </c>
    </row>
    <row r="177" spans="1:9" ht="12" customHeight="1" x14ac:dyDescent="0.2">
      <c r="A177" s="1443"/>
      <c r="B177" s="1453"/>
      <c r="C177" s="1454"/>
      <c r="D177" s="1455" t="s">
        <v>1794</v>
      </c>
      <c r="E177" s="1456"/>
      <c r="F177" s="1793">
        <f>'Cap Outlay Deprec 26'!I18</f>
        <v>911845</v>
      </c>
    </row>
    <row r="178" spans="1:9" ht="12" customHeight="1" x14ac:dyDescent="0.2">
      <c r="A178" s="1443"/>
      <c r="B178" s="1453"/>
      <c r="C178" s="1454"/>
      <c r="D178" s="1455" t="s">
        <v>2015</v>
      </c>
      <c r="E178" s="1456"/>
      <c r="F178" s="1793">
        <f>F176+F177</f>
        <v>9855219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1180</v>
      </c>
      <c r="G179" s="763"/>
      <c r="I179" s="701"/>
    </row>
    <row r="180" spans="1:9" ht="12" customHeight="1" thickBot="1" x14ac:dyDescent="0.25">
      <c r="A180" s="1443"/>
      <c r="B180" s="1457"/>
      <c r="C180" s="1454"/>
      <c r="D180" s="1455" t="s">
        <v>2017</v>
      </c>
      <c r="E180" s="1456" t="s">
        <v>1528</v>
      </c>
      <c r="F180" s="1798">
        <f>F178/F179</f>
        <v>8351.8805084745763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B21" sqref="B2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2060</v>
      </c>
      <c r="B18" s="1908">
        <v>102100300</v>
      </c>
      <c r="C18" s="2036" t="s">
        <v>2061</v>
      </c>
      <c r="D18" s="1886">
        <v>42827</v>
      </c>
      <c r="E18" s="1906" t="str">
        <f t="shared" ref="E18:E81" si="0">IF(D18&lt;25000,D18,"25,000")</f>
        <v>25,000</v>
      </c>
      <c r="F18" s="1906">
        <f t="shared" ref="F18:F81" si="1">IF(D18&gt;=25000,(D18-E18),"0")</f>
        <v>17827</v>
      </c>
      <c r="G18" s="1887"/>
    </row>
    <row r="19" spans="1:7" x14ac:dyDescent="0.25">
      <c r="A19" s="2035" t="s">
        <v>2062</v>
      </c>
      <c r="B19" s="1908">
        <v>101000300</v>
      </c>
      <c r="C19" s="2036" t="s">
        <v>2058</v>
      </c>
      <c r="D19" s="1886">
        <v>114996</v>
      </c>
      <c r="E19" s="1906" t="str">
        <f t="shared" si="0"/>
        <v>25,000</v>
      </c>
      <c r="F19" s="1906">
        <f t="shared" si="1"/>
        <v>89996</v>
      </c>
    </row>
    <row r="20" spans="1:7" x14ac:dyDescent="0.25">
      <c r="A20" s="2035" t="s">
        <v>2063</v>
      </c>
      <c r="B20" s="1908">
        <v>102660300</v>
      </c>
      <c r="C20" s="2036" t="s">
        <v>2064</v>
      </c>
      <c r="D20" s="1886">
        <v>28999</v>
      </c>
      <c r="E20" s="1906" t="str">
        <f t="shared" si="0"/>
        <v>25,000</v>
      </c>
      <c r="F20" s="1906">
        <f t="shared" si="1"/>
        <v>3999</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186822</v>
      </c>
      <c r="E142" s="1893">
        <f>SUM(E18:E141)</f>
        <v>0</v>
      </c>
      <c r="F142" s="1894">
        <f>SUM(F18:F141)</f>
        <v>111822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17731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5748935</v>
      </c>
      <c r="F19" s="1802"/>
      <c r="G19" s="1804">
        <f>'Expenditures 15-22'!K33-SUM('Expenditures 15-22'!G33,'Expenditures 15-22'!I33)+'Expenditures 15-22'!D229</f>
        <v>5748935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125914</v>
      </c>
      <c r="F21" s="1805"/>
      <c r="G21" s="1808">
        <f>'Expenditures 15-22'!K42-SUM('Expenditures 15-22'!G42,'Expenditures 15-22'!I42)+'Expenditures 15-22'!K120-SUM('Expenditures 15-22'!G120,'Expenditures 15-22'!I120)+'Expenditures 15-22'!K180-SUM('Expenditures 15-22'!G180,'Expenditures 15-22'!I180)+'Expenditures 15-22'!D238</f>
        <v>125914</v>
      </c>
      <c r="H21" s="817"/>
      <c r="I21" s="157"/>
    </row>
    <row r="22" spans="1:9" s="542" customFormat="1" ht="12" customHeight="1" x14ac:dyDescent="0.2">
      <c r="A22" s="824" t="s">
        <v>560</v>
      </c>
      <c r="B22" s="825"/>
      <c r="C22" s="823">
        <v>2200</v>
      </c>
      <c r="D22" s="1805"/>
      <c r="E22" s="1807">
        <f>'Expenditures 15-22'!K47-SUM('Expenditures 15-22'!G47,'Expenditures 15-22'!I47)+'Expenditures 15-22'!D243</f>
        <v>50945</v>
      </c>
      <c r="F22" s="1805"/>
      <c r="G22" s="1808">
        <f>'Expenditures 15-22'!K47-SUM('Expenditures 15-22'!G47,'Expenditures 15-22'!I47)+'Expenditures 15-22'!D243</f>
        <v>50945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773499</v>
      </c>
      <c r="F23" s="1805"/>
      <c r="G23" s="1807">
        <f>'Expenditures 15-22'!K53-SUM('Expenditures 15-22'!G53,'Expenditures 15-22'!I53)+'Expenditures 15-22'!D257+'Expenditures 15-22'!K330-SUM('Expenditures 15-22'!G330,'Expenditures 15-22'!I330)</f>
        <v>773499</v>
      </c>
      <c r="H23" s="817"/>
      <c r="I23" s="157"/>
    </row>
    <row r="24" spans="1:9" s="542" customFormat="1" ht="12" customHeight="1" x14ac:dyDescent="0.2">
      <c r="A24" s="824" t="s">
        <v>562</v>
      </c>
      <c r="B24" s="825"/>
      <c r="C24" s="823">
        <v>2400</v>
      </c>
      <c r="D24" s="1805"/>
      <c r="E24" s="1807">
        <f>'Expenditures 15-22'!K57-SUM('Expenditures 15-22'!G57,'Expenditures 15-22'!I57)+'Expenditures 15-22'!D261</f>
        <v>629024</v>
      </c>
      <c r="F24" s="1805"/>
      <c r="G24" s="1808">
        <f>'Expenditures 15-22'!K57-SUM('Expenditures 15-22'!G57,'Expenditures 15-22'!I57)+'Expenditures 15-22'!D261</f>
        <v>629024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180009</v>
      </c>
      <c r="E27" s="1807">
        <f>E8</f>
        <v>0</v>
      </c>
      <c r="F27" s="1807">
        <f>'Expenditures 15-22'!K60-SUM('Expenditures 15-22'!G60,'Expenditures 15-22'!I60)+'Expenditures 15-22'!D264-E8</f>
        <v>180009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1348333</v>
      </c>
      <c r="F28" s="1809">
        <f>'Expenditures 15-22'!K61-SUM('Expenditures 15-22'!G61,'Expenditures 15-22'!I61)+'Expenditures 15-22'!K124-SUM('Expenditures 15-22'!G124,'Expenditures 15-22'!I124)+'Expenditures 15-22'!D266-E9</f>
        <v>1348333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598612</v>
      </c>
      <c r="F29" s="1805"/>
      <c r="G29" s="1808">
        <f>'Expenditures 15-22'!K62-SUM('Expenditures 15-22'!G62,'Expenditures 15-22'!I62)+'Expenditures 15-22'!K125-SUM('Expenditures 15-22'!G125,'Expenditures 15-22'!I125)+'Expenditures 15-22'!K182-SUM('Expenditures 15-22'!G182,'Expenditures 15-22'!I182)+'Expenditures 15-22'!D267</f>
        <v>598612</v>
      </c>
      <c r="H29" s="815"/>
    </row>
    <row r="30" spans="1:9" ht="12" customHeight="1" x14ac:dyDescent="0.2">
      <c r="A30" s="824" t="s">
        <v>100</v>
      </c>
      <c r="B30" s="827"/>
      <c r="C30" s="823">
        <v>2560</v>
      </c>
      <c r="D30" s="1805"/>
      <c r="E30" s="1807">
        <f>'Expenditures 15-22'!K63-SUM('Expenditures 15-22'!G63,'Expenditures 15-22'!I63)+'Expenditures 15-22'!D268-E10</f>
        <v>349767</v>
      </c>
      <c r="F30" s="1805"/>
      <c r="G30" s="1807">
        <f>'Expenditures 15-22'!K63-SUM('Expenditures 15-22'!G63,'Expenditures 15-22'!I63)+'Expenditures 15-22'!D268-E10</f>
        <v>349767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-111822</v>
      </c>
      <c r="F40" s="1805"/>
      <c r="G40" s="1809">
        <f>-'Contracts Paid in CY 29'!F142</f>
        <v>-111822</v>
      </c>
    </row>
    <row r="41" spans="1:7" ht="12" customHeight="1" x14ac:dyDescent="0.2">
      <c r="A41" s="828" t="s">
        <v>155</v>
      </c>
      <c r="B41" s="829"/>
      <c r="C41" s="830"/>
      <c r="D41" s="1809">
        <f>SUM(D19:D39)</f>
        <v>180009</v>
      </c>
      <c r="E41" s="1809">
        <f>SUM(E19:E40)</f>
        <v>9513207</v>
      </c>
      <c r="F41" s="1809">
        <f>SUM(F19:F39)</f>
        <v>1528342</v>
      </c>
      <c r="G41" s="1809">
        <f>SUM(G19:G40)</f>
        <v>8164874</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180009</v>
      </c>
      <c r="F43" s="1458" t="s">
        <v>470</v>
      </c>
      <c r="G43" s="1810">
        <f>F41</f>
        <v>1528342</v>
      </c>
    </row>
    <row r="44" spans="1:7" ht="12" customHeight="1" x14ac:dyDescent="0.2">
      <c r="A44" s="817"/>
      <c r="B44" s="157"/>
      <c r="C44" s="831"/>
      <c r="D44" s="1458" t="s">
        <v>471</v>
      </c>
      <c r="E44" s="1810">
        <f>E41</f>
        <v>9513207</v>
      </c>
      <c r="F44" s="1458" t="s">
        <v>471</v>
      </c>
      <c r="G44" s="1810">
        <f>G41</f>
        <v>8164874</v>
      </c>
    </row>
    <row r="45" spans="1:7" ht="12" customHeight="1" x14ac:dyDescent="0.2">
      <c r="A45" s="817"/>
      <c r="B45" s="157"/>
      <c r="C45" s="157"/>
      <c r="D45" s="1459" t="s">
        <v>999</v>
      </c>
      <c r="E45" s="1811">
        <f>(E43/E44)</f>
        <v>1.8922010211698325E-2</v>
      </c>
      <c r="F45" s="1459" t="s">
        <v>999</v>
      </c>
      <c r="G45" s="1811">
        <f>(G43/G44)</f>
        <v>0.18718500738651939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P38" sqref="P3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Maroa Forsyth CUSD 2</v>
      </c>
      <c r="D6" s="2405"/>
      <c r="E6" s="2405"/>
      <c r="F6" s="1482"/>
      <c r="G6" s="1507"/>
      <c r="L6" s="1507"/>
      <c r="M6" s="1855"/>
      <c r="N6" s="1855"/>
      <c r="O6" s="1855"/>
    </row>
    <row r="7" spans="1:15" ht="11.25" customHeight="1" thickBot="1" x14ac:dyDescent="0.3">
      <c r="A7" s="1480"/>
      <c r="B7" s="1481"/>
      <c r="C7" s="2406">
        <f>COVER!A13</f>
        <v>39055002026</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2055</v>
      </c>
      <c r="D26" s="1495" t="s">
        <v>2055</v>
      </c>
      <c r="E26" s="1498" t="s">
        <v>2055</v>
      </c>
      <c r="F26" s="1497" t="s">
        <v>2059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2055</v>
      </c>
      <c r="D29" s="1495" t="s">
        <v>2055</v>
      </c>
      <c r="E29" s="1498" t="s">
        <v>2055</v>
      </c>
      <c r="F29" s="1497" t="s">
        <v>2058</v>
      </c>
      <c r="G29" s="1507"/>
      <c r="H29" s="1507">
        <f t="shared" si="0"/>
        <v>5</v>
      </c>
      <c r="I29" s="1507">
        <f t="shared" si="1"/>
        <v>5</v>
      </c>
      <c r="J29" s="1507">
        <f t="shared" si="2"/>
        <v>5</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2055</v>
      </c>
      <c r="D31" s="1495" t="s">
        <v>2055</v>
      </c>
      <c r="E31" s="1498" t="s">
        <v>2055</v>
      </c>
      <c r="F31" s="1497" t="s">
        <v>2057</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2055</v>
      </c>
      <c r="D33" s="1495" t="s">
        <v>2055</v>
      </c>
      <c r="E33" s="1498" t="s">
        <v>2055</v>
      </c>
      <c r="F33" s="1497" t="s">
        <v>2056</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15</v>
      </c>
      <c r="K34" s="1507">
        <f>SUM(H34:J34)</f>
        <v>45</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1" t="str">
        <f>COVER!A17</f>
        <v xml:space="preserve">   Maroa Forsyth CUSD 2</v>
      </c>
      <c r="K6" s="2421"/>
      <c r="L6" s="2422"/>
      <c r="M6" s="838"/>
      <c r="N6" s="1998"/>
    </row>
    <row r="7" spans="1:14" x14ac:dyDescent="0.2">
      <c r="A7" s="2423" t="s">
        <v>864</v>
      </c>
      <c r="B7" s="2424"/>
      <c r="C7" s="2424"/>
      <c r="D7" s="2424"/>
      <c r="E7" s="2425"/>
      <c r="F7" s="839"/>
      <c r="G7" s="838"/>
      <c r="H7" s="838"/>
      <c r="I7" s="1924" t="s">
        <v>369</v>
      </c>
      <c r="J7" s="2426">
        <f>COVER!A13</f>
        <v>39055002026</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249992</v>
      </c>
      <c r="F12" s="1942"/>
      <c r="G12" s="1968">
        <v>13250</v>
      </c>
      <c r="H12" s="1944">
        <f t="shared" ref="H12:H18" si="0">SUM(E12:G12)</f>
        <v>263242</v>
      </c>
      <c r="I12" s="1943">
        <v>275627</v>
      </c>
      <c r="J12" s="1942"/>
      <c r="K12" s="1943"/>
      <c r="L12" s="1944">
        <f t="shared" ref="L12:L18" si="1">SUM(I12:K12)</f>
        <v>275627</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249992</v>
      </c>
      <c r="F19" s="1950">
        <f t="shared" si="2"/>
        <v>0</v>
      </c>
      <c r="G19" s="1950">
        <f t="shared" ref="G19" si="3">SUM(G12:G17)-G18</f>
        <v>13250</v>
      </c>
      <c r="H19" s="1950">
        <f t="shared" si="2"/>
        <v>263242</v>
      </c>
      <c r="I19" s="1950">
        <f t="shared" si="2"/>
        <v>275627</v>
      </c>
      <c r="J19" s="1950">
        <f t="shared" si="2"/>
        <v>0</v>
      </c>
      <c r="K19" s="1950">
        <f t="shared" si="2"/>
        <v>0</v>
      </c>
      <c r="L19" s="1950">
        <f t="shared" si="2"/>
        <v>275627</v>
      </c>
      <c r="M19" s="838"/>
      <c r="N19" s="1998"/>
    </row>
    <row r="20" spans="1:14" ht="13.5" thickTop="1" x14ac:dyDescent="0.2">
      <c r="A20" s="2003">
        <v>9</v>
      </c>
      <c r="B20" s="2433" t="s">
        <v>2021</v>
      </c>
      <c r="C20" s="2433"/>
      <c r="D20" s="2434"/>
      <c r="E20" s="1951"/>
      <c r="F20" s="1951"/>
      <c r="G20" s="1951"/>
      <c r="H20" s="1951"/>
      <c r="I20" s="1951"/>
      <c r="J20" s="1951"/>
      <c r="K20" s="1951"/>
      <c r="L20" s="1952">
        <f>IF(AND(H19&gt;0,L19&gt;0),(((L19-H19)/H19)),"Enter Budget Data")</f>
        <v>4.7047963470874705E-2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1026</v>
      </c>
      <c r="D28" s="844"/>
      <c r="E28" s="1958"/>
      <c r="F28" s="2437" t="s">
        <v>1492</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1544</v>
      </c>
      <c r="D30" s="838"/>
      <c r="E30" s="1959"/>
      <c r="F30" s="2420" t="s">
        <v>1493</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2024</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2025</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2026</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1" t="str">
        <f>J6</f>
        <v xml:space="preserve">   Maroa Forsyth CUSD 2</v>
      </c>
      <c r="M52" s="2421"/>
      <c r="N52" s="2451"/>
    </row>
    <row r="53" spans="1:14" x14ac:dyDescent="0.2">
      <c r="A53" s="1982"/>
      <c r="B53" s="1983"/>
      <c r="C53" s="1983"/>
      <c r="D53" s="1983"/>
      <c r="E53" s="1983"/>
      <c r="F53" s="1983"/>
      <c r="G53" s="1983"/>
      <c r="H53" s="1983"/>
      <c r="I53" s="1983"/>
      <c r="J53" s="1983"/>
      <c r="K53" s="1924" t="s">
        <v>369</v>
      </c>
      <c r="L53" s="2426">
        <f>J7</f>
        <v>39055002026</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2030</v>
      </c>
      <c r="H55" s="2455"/>
      <c r="I55" s="2455"/>
      <c r="J55" s="2455"/>
      <c r="K55" s="2455"/>
      <c r="L55" s="2455"/>
      <c r="M55" s="2455"/>
      <c r="N55" s="2456"/>
    </row>
    <row r="56" spans="1:14" ht="63.75" x14ac:dyDescent="0.2">
      <c r="A56" s="2457" t="s">
        <v>2031</v>
      </c>
      <c r="B56" s="2458"/>
      <c r="C56" s="245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2041</v>
      </c>
      <c r="B58" s="2440"/>
      <c r="C58" s="2440"/>
      <c r="D58" s="1967">
        <v>2362</v>
      </c>
      <c r="E58" s="1977">
        <f>'Expenditures 15-22'!K320</f>
        <v>246</v>
      </c>
      <c r="F58" s="1972"/>
      <c r="G58" s="2031"/>
      <c r="H58" s="2032"/>
      <c r="I58" s="2032"/>
      <c r="J58" s="2032"/>
      <c r="K58" s="2032"/>
      <c r="L58" s="2032"/>
      <c r="M58" s="2032"/>
      <c r="N58" s="1975" t="str">
        <f>IF((SUM(G58:M58))=E58,SUM(G58:M58),"Column N does not agree with Column E")</f>
        <v>Column N does not agree with Column E</v>
      </c>
    </row>
    <row r="59" spans="1:14" ht="24.75" customHeight="1" x14ac:dyDescent="0.2">
      <c r="A59" s="2462" t="s">
        <v>297</v>
      </c>
      <c r="B59" s="2463"/>
      <c r="C59" s="246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2" t="s">
        <v>236</v>
      </c>
      <c r="B60" s="2463"/>
      <c r="C60" s="2463"/>
      <c r="D60" s="1967">
        <v>2364</v>
      </c>
      <c r="E60" s="1977">
        <f>'Expenditures 15-22'!K322</f>
        <v>74613</v>
      </c>
      <c r="F60" s="1972"/>
      <c r="G60" s="2031"/>
      <c r="H60" s="2032"/>
      <c r="I60" s="2032"/>
      <c r="J60" s="2032"/>
      <c r="K60" s="2032"/>
      <c r="L60" s="2032"/>
      <c r="M60" s="2032"/>
      <c r="N60" s="1975" t="str">
        <f t="shared" ref="N60:N67" si="4">IF((SUM(G60:M60))=E60,SUM(G60:M60),"Column N does not agree with Column E")</f>
        <v>Column N does not agree with Column E</v>
      </c>
    </row>
    <row r="61" spans="1:14" ht="24.75" customHeight="1" x14ac:dyDescent="0.2">
      <c r="A61" s="2462" t="s">
        <v>697</v>
      </c>
      <c r="B61" s="2463"/>
      <c r="C61" s="2463"/>
      <c r="D61" s="1967">
        <v>2365</v>
      </c>
      <c r="E61" s="1977">
        <f>'Expenditures 15-22'!K323</f>
        <v>294251</v>
      </c>
      <c r="F61" s="1972"/>
      <c r="G61" s="2031"/>
      <c r="H61" s="2032"/>
      <c r="I61" s="2032"/>
      <c r="J61" s="2032"/>
      <c r="K61" s="2032"/>
      <c r="L61" s="2032"/>
      <c r="M61" s="2032"/>
      <c r="N61" s="1975" t="str">
        <f t="shared" si="4"/>
        <v>Column N does not agree with Column E</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1022</v>
      </c>
      <c r="B63" s="2440"/>
      <c r="C63" s="2440"/>
      <c r="D63" s="1967">
        <v>2367</v>
      </c>
      <c r="E63" s="1977">
        <f>'Expenditures 15-22'!K325</f>
        <v>80140</v>
      </c>
      <c r="F63" s="1972"/>
      <c r="G63" s="2031"/>
      <c r="H63" s="2032"/>
      <c r="I63" s="2032"/>
      <c r="J63" s="2032"/>
      <c r="K63" s="2032"/>
      <c r="L63" s="2032"/>
      <c r="M63" s="2032"/>
      <c r="N63" s="1975" t="str">
        <f t="shared" si="4"/>
        <v>Column N does not agree with Column E</v>
      </c>
    </row>
    <row r="64" spans="1:14" ht="24" customHeight="1" x14ac:dyDescent="0.2">
      <c r="A64" s="2462" t="s">
        <v>1023</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965</v>
      </c>
      <c r="B65" s="2463"/>
      <c r="C65" s="2463"/>
      <c r="D65" s="1967">
        <v>2369</v>
      </c>
      <c r="E65" s="1977">
        <f>'Expenditures 15-22'!K327</f>
        <v>24719</v>
      </c>
      <c r="F65" s="1972"/>
      <c r="G65" s="2031"/>
      <c r="H65" s="2032"/>
      <c r="I65" s="2032"/>
      <c r="J65" s="2032"/>
      <c r="K65" s="2032"/>
      <c r="L65" s="2032"/>
      <c r="M65" s="2032"/>
      <c r="N65" s="1975" t="str">
        <f t="shared" si="4"/>
        <v>Column N does not agree with Column E</v>
      </c>
    </row>
    <row r="66" spans="1:14" ht="24" customHeight="1" x14ac:dyDescent="0.2">
      <c r="A66" s="2462" t="s">
        <v>469</v>
      </c>
      <c r="B66" s="2463"/>
      <c r="C66" s="2463"/>
      <c r="D66" s="1967">
        <v>2371</v>
      </c>
      <c r="E66" s="1977">
        <f>'Expenditures 15-22'!K328</f>
        <v>0</v>
      </c>
      <c r="F66" s="1972"/>
      <c r="G66" s="2031"/>
      <c r="H66" s="2032"/>
      <c r="I66" s="2032"/>
      <c r="J66" s="2032"/>
      <c r="K66" s="2032"/>
      <c r="L66" s="2032"/>
      <c r="M66" s="2032"/>
      <c r="N66" s="1975">
        <f t="shared" si="4"/>
        <v>0</v>
      </c>
    </row>
    <row r="67" spans="1:14" ht="24.75" customHeight="1" x14ac:dyDescent="0.2">
      <c r="A67" s="2464" t="s">
        <v>2042</v>
      </c>
      <c r="B67" s="2465"/>
      <c r="C67" s="2465"/>
      <c r="D67" s="1969">
        <v>2372</v>
      </c>
      <c r="E67" s="1978">
        <f>'Expenditures 15-22'!K329</f>
        <v>0</v>
      </c>
      <c r="F67" s="1972"/>
      <c r="G67" s="2033"/>
      <c r="H67" s="2034"/>
      <c r="I67" s="2034"/>
      <c r="J67" s="2034"/>
      <c r="K67" s="2034"/>
      <c r="L67" s="2034"/>
      <c r="M67" s="2034"/>
      <c r="N67" s="1975">
        <f t="shared" si="4"/>
        <v>0</v>
      </c>
    </row>
    <row r="68" spans="1:14" x14ac:dyDescent="0.2">
      <c r="A68" s="2466" t="s">
        <v>1151</v>
      </c>
      <c r="B68" s="2467"/>
      <c r="C68" s="2467"/>
      <c r="D68" s="1970"/>
      <c r="E68" s="1974">
        <f>SUM(E57:E67)</f>
        <v>473969</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zoomScale="110" zoomScaleNormal="110" workbookViewId="0">
      <selection activeCell="B24" sqref="B2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4" x14ac:dyDescent="0.2">
      <c r="A2" s="366" t="s">
        <v>256</v>
      </c>
    </row>
    <row r="3" spans="1:4" x14ac:dyDescent="0.2">
      <c r="A3" s="307" t="s">
        <v>257</v>
      </c>
    </row>
    <row r="5" spans="1:4" x14ac:dyDescent="0.2">
      <c r="A5" s="847">
        <v>1</v>
      </c>
      <c r="B5" s="307" t="s">
        <v>2065</v>
      </c>
    </row>
    <row r="6" spans="1:4" x14ac:dyDescent="0.2">
      <c r="A6" s="847">
        <v>2</v>
      </c>
      <c r="B6" s="307" t="s">
        <v>2073</v>
      </c>
    </row>
    <row r="7" spans="1:4" x14ac:dyDescent="0.2">
      <c r="A7" s="847">
        <v>3</v>
      </c>
      <c r="B7" s="307" t="s">
        <v>2068</v>
      </c>
      <c r="C7" s="307" t="s">
        <v>952</v>
      </c>
      <c r="D7" s="2037">
        <v>72262</v>
      </c>
    </row>
    <row r="8" spans="1:4" x14ac:dyDescent="0.2">
      <c r="A8" s="847">
        <v>4</v>
      </c>
      <c r="B8" s="307" t="s">
        <v>2067</v>
      </c>
      <c r="D8" s="2037">
        <v>8136</v>
      </c>
    </row>
    <row r="9" spans="1:4" x14ac:dyDescent="0.2">
      <c r="A9" s="848"/>
      <c r="B9" s="307" t="s">
        <v>2074</v>
      </c>
      <c r="D9" s="2037">
        <v>14304</v>
      </c>
    </row>
    <row r="10" spans="1:4" x14ac:dyDescent="0.2">
      <c r="A10" s="848"/>
      <c r="B10" s="307" t="s">
        <v>2075</v>
      </c>
    </row>
    <row r="11" spans="1:4" x14ac:dyDescent="0.2">
      <c r="A11" s="848" t="s">
        <v>2066</v>
      </c>
      <c r="B11" s="307" t="s">
        <v>2076</v>
      </c>
      <c r="D11" s="2037">
        <v>25000</v>
      </c>
    </row>
    <row r="12" spans="1:4" x14ac:dyDescent="0.2">
      <c r="A12" s="848"/>
      <c r="B12" s="307" t="s">
        <v>2069</v>
      </c>
    </row>
    <row r="13" spans="1:4" x14ac:dyDescent="0.2">
      <c r="A13" s="848"/>
      <c r="B13" s="307" t="s">
        <v>2077</v>
      </c>
      <c r="D13" s="2037">
        <v>970992</v>
      </c>
    </row>
    <row r="14" spans="1:4" x14ac:dyDescent="0.2">
      <c r="A14" s="848"/>
      <c r="B14" s="307" t="s">
        <v>2070</v>
      </c>
    </row>
    <row r="15" spans="1:4" x14ac:dyDescent="0.2">
      <c r="A15" s="848"/>
      <c r="B15" s="307" t="s">
        <v>2078</v>
      </c>
      <c r="D15" s="2037">
        <v>11984</v>
      </c>
    </row>
    <row r="16" spans="1:4" x14ac:dyDescent="0.2">
      <c r="A16" s="848"/>
    </row>
    <row r="17" spans="1:4" x14ac:dyDescent="0.2">
      <c r="A17" s="848"/>
    </row>
    <row r="18" spans="1:4" x14ac:dyDescent="0.2">
      <c r="A18" s="848"/>
      <c r="B18" s="307" t="s">
        <v>2071</v>
      </c>
    </row>
    <row r="19" spans="1:4" x14ac:dyDescent="0.2">
      <c r="A19" s="848" t="s">
        <v>2072</v>
      </c>
      <c r="B19" s="307" t="s">
        <v>2069</v>
      </c>
    </row>
    <row r="20" spans="1:4" x14ac:dyDescent="0.2">
      <c r="A20" s="848"/>
      <c r="B20" s="307" t="s">
        <v>2079</v>
      </c>
      <c r="C20" s="307" t="s">
        <v>952</v>
      </c>
      <c r="D20" s="307">
        <v>2300</v>
      </c>
    </row>
    <row r="21" spans="1:4" x14ac:dyDescent="0.2">
      <c r="A21" s="848"/>
    </row>
    <row r="22" spans="1:4" x14ac:dyDescent="0.2">
      <c r="A22" s="848"/>
    </row>
    <row r="23" spans="1:4" x14ac:dyDescent="0.2">
      <c r="A23" s="848"/>
    </row>
    <row r="24" spans="1:4" x14ac:dyDescent="0.2">
      <c r="A24" s="848"/>
    </row>
    <row r="25" spans="1:4" x14ac:dyDescent="0.2">
      <c r="A25" s="848"/>
    </row>
    <row r="26" spans="1:4" x14ac:dyDescent="0.2">
      <c r="A26" s="848"/>
    </row>
    <row r="27" spans="1:4" x14ac:dyDescent="0.2">
      <c r="A27" s="848"/>
    </row>
    <row r="28" spans="1:4" x14ac:dyDescent="0.2">
      <c r="A28" s="848"/>
    </row>
    <row r="29" spans="1:4" x14ac:dyDescent="0.2">
      <c r="A29" s="848"/>
    </row>
    <row r="30" spans="1:4" x14ac:dyDescent="0.2">
      <c r="A30" s="848"/>
    </row>
    <row r="31" spans="1:4" x14ac:dyDescent="0.2">
      <c r="A31" s="848"/>
    </row>
    <row r="32" spans="1:4"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Maroa Forsyth CUSD 2</v>
      </c>
    </row>
    <row r="65" spans="2:2" x14ac:dyDescent="0.2">
      <c r="B65" s="849">
        <f>COVER!A13</f>
        <v>39055002026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57150</xdr:colOff>
                <xdr:row>1</xdr:row>
                <xdr:rowOff>123825</xdr:rowOff>
              </from>
              <to>
                <xdr:col>1</xdr:col>
                <xdr:colOff>971550</xdr:colOff>
                <xdr:row>6</xdr:row>
                <xdr:rowOff>85725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1114425</xdr:colOff>
                <xdr:row>1</xdr:row>
                <xdr:rowOff>123825</xdr:rowOff>
              </from>
              <to>
                <xdr:col>1</xdr:col>
                <xdr:colOff>2028825</xdr:colOff>
                <xdr:row>6</xdr:row>
                <xdr:rowOff>76200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8199560</v>
      </c>
      <c r="C8" s="1813">
        <f>'Acct Summary 7-8'!D8</f>
        <v>1314033</v>
      </c>
      <c r="D8" s="1813">
        <f>'Acct Summary 7-8'!F8</f>
        <v>885928</v>
      </c>
      <c r="E8" s="1813">
        <f>'Acct Summary 7-8'!I8</f>
        <v>123276</v>
      </c>
      <c r="F8" s="1813">
        <f>SUM(B8:E8)</f>
        <v>10522797</v>
      </c>
    </row>
    <row r="9" spans="1:8" s="858" customFormat="1" ht="14.25" customHeight="1" thickBot="1" x14ac:dyDescent="0.25">
      <c r="A9" s="857" t="s">
        <v>1353</v>
      </c>
      <c r="B9" s="1814">
        <f>'Acct Summary 7-8'!C17</f>
        <v>7807214</v>
      </c>
      <c r="C9" s="1814">
        <f>'Acct Summary 7-8'!D17</f>
        <v>1485302</v>
      </c>
      <c r="D9" s="1814">
        <f>'Acct Summary 7-8'!F17</f>
        <v>742991</v>
      </c>
      <c r="E9" s="1813"/>
      <c r="F9" s="1813">
        <f>SUM(B9:E9)</f>
        <v>10035507</v>
      </c>
    </row>
    <row r="10" spans="1:8" s="858" customFormat="1" ht="14.25" thickTop="1" thickBot="1" x14ac:dyDescent="0.25">
      <c r="A10" s="859" t="s">
        <v>1354</v>
      </c>
      <c r="B10" s="1815">
        <f>(B8-B9)</f>
        <v>392346</v>
      </c>
      <c r="C10" s="1815">
        <f>(C8-C9)</f>
        <v>-171269</v>
      </c>
      <c r="D10" s="1815">
        <f>(D8-D9)</f>
        <v>142937</v>
      </c>
      <c r="E10" s="1814">
        <f>(E8-E9)</f>
        <v>123276</v>
      </c>
      <c r="F10" s="1816">
        <f>SUM(F8-F9)</f>
        <v>487290</v>
      </c>
    </row>
    <row r="11" spans="1:8" s="858" customFormat="1" ht="14.25" thickTop="1" thickBot="1" x14ac:dyDescent="0.25">
      <c r="A11" s="860" t="s">
        <v>1903</v>
      </c>
      <c r="B11" s="1817">
        <f>'Acct Summary 7-8'!C81</f>
        <v>1044858</v>
      </c>
      <c r="C11" s="1817">
        <f>'Acct Summary 7-8'!D81</f>
        <v>379049</v>
      </c>
      <c r="D11" s="1817">
        <f>'Acct Summary 7-8'!F81</f>
        <v>415900</v>
      </c>
      <c r="E11" s="1817">
        <f>'Acct Summary 7-8'!I81</f>
        <v>2199509</v>
      </c>
      <c r="F11" s="1818">
        <f>SUM(B11:E11)</f>
        <v>4039316</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C80" sqref="C8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39055002026</v>
      </c>
      <c r="E2" s="1542">
        <v>2020</v>
      </c>
      <c r="F2" s="1542">
        <v>1</v>
      </c>
      <c r="G2" s="1899">
        <v>101000300</v>
      </c>
    </row>
    <row r="3" spans="1:7" ht="15" x14ac:dyDescent="0.25">
      <c r="A3" t="s">
        <v>950</v>
      </c>
      <c r="B3" s="135" t="str">
        <f>COVER!A15</f>
        <v>MACON</v>
      </c>
      <c r="E3" s="1830" t="s">
        <v>1971</v>
      </c>
      <c r="F3" s="1830" t="s">
        <v>1970</v>
      </c>
      <c r="G3" s="1899">
        <v>101000400</v>
      </c>
    </row>
    <row r="4" spans="1:7" ht="15" x14ac:dyDescent="0.25">
      <c r="A4" t="s">
        <v>1000</v>
      </c>
      <c r="B4" s="135" t="str">
        <f>COVER!A17</f>
        <v xml:space="preserve">   Maroa Forsyth CUSD 2</v>
      </c>
      <c r="E4" s="1828">
        <v>44119</v>
      </c>
      <c r="F4" s="1829">
        <v>44151</v>
      </c>
      <c r="G4" s="1899">
        <v>101000600</v>
      </c>
    </row>
    <row r="5" spans="1:7" ht="15" x14ac:dyDescent="0.25">
      <c r="A5" t="s">
        <v>699</v>
      </c>
      <c r="B5" s="135" t="str">
        <f>COVER!A38</f>
        <v>JOHN AHLEMEYER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066-004385</v>
      </c>
      <c r="G15" s="1899">
        <v>402100400</v>
      </c>
    </row>
    <row r="16" spans="1:7" ht="15" x14ac:dyDescent="0.25">
      <c r="A16" t="s">
        <v>419</v>
      </c>
      <c r="B16" s="135" t="str">
        <f>COVER!T13</f>
        <v>FLOYD &amp; ASSOCIATES, CPAS</v>
      </c>
      <c r="G16" s="1899">
        <v>402100600</v>
      </c>
    </row>
    <row r="17" spans="1:7" ht="15" x14ac:dyDescent="0.25">
      <c r="A17" t="s">
        <v>878</v>
      </c>
      <c r="B17" s="135" t="str">
        <f>COVER!T15</f>
        <v>JULIE M. FLOYD</v>
      </c>
      <c r="G17" s="1899">
        <v>402100800</v>
      </c>
    </row>
    <row r="18" spans="1:7" ht="15" x14ac:dyDescent="0.25">
      <c r="A18" t="s">
        <v>1140</v>
      </c>
      <c r="B18" s="135" t="str">
        <f>COVER!T17</f>
        <v>910 STATE HWY 54 EAST</v>
      </c>
      <c r="G18" s="1899">
        <v>102200300</v>
      </c>
    </row>
    <row r="19" spans="1:7" ht="15" x14ac:dyDescent="0.25">
      <c r="A19" t="s">
        <v>880</v>
      </c>
      <c r="B19" s="135" t="str">
        <f>COVER!T25</f>
        <v>JULIE@FLOYDCPAS.COM</v>
      </c>
      <c r="G19" s="1899">
        <v>102200400</v>
      </c>
    </row>
    <row r="20" spans="1:7" ht="15" x14ac:dyDescent="0.25">
      <c r="A20" t="s">
        <v>881</v>
      </c>
      <c r="B20" s="135" t="str">
        <f>COVER!T19</f>
        <v>CLINTON</v>
      </c>
      <c r="G20" s="1899">
        <v>102200600</v>
      </c>
    </row>
    <row r="21" spans="1:7" ht="15" x14ac:dyDescent="0.25">
      <c r="A21" t="s">
        <v>476</v>
      </c>
      <c r="B21" s="135" t="str">
        <f>COVER!X19</f>
        <v>IL</v>
      </c>
      <c r="G21" s="1899">
        <v>102200800</v>
      </c>
    </row>
    <row r="22" spans="1:7" ht="15" x14ac:dyDescent="0.25">
      <c r="A22" t="s">
        <v>882</v>
      </c>
      <c r="B22" s="135">
        <f>COVER!Z19</f>
        <v>61727</v>
      </c>
      <c r="G22" s="1899">
        <v>102300300</v>
      </c>
    </row>
    <row r="23" spans="1:7" ht="15" x14ac:dyDescent="0.25">
      <c r="A23" t="s">
        <v>1142</v>
      </c>
      <c r="B23" s="135" t="str">
        <f>COVER!T21</f>
        <v>217-935-8871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1431368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18351</v>
      </c>
      <c r="D76" s="2" t="str">
        <f t="shared" si="0"/>
        <v>Error?</v>
      </c>
      <c r="G76" s="1899">
        <v>102570600</v>
      </c>
    </row>
    <row r="77" spans="1:7" ht="15" x14ac:dyDescent="0.25">
      <c r="A77" s="5">
        <v>16</v>
      </c>
      <c r="B77" s="1832">
        <f>'Assets-Liab 5-6'!C13</f>
        <v>1513599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468741</v>
      </c>
      <c r="C91" s="2" t="s">
        <v>569</v>
      </c>
      <c r="D91" s="2" t="str">
        <f t="shared" si="0"/>
        <v>Error?</v>
      </c>
      <c r="G91" s="1899">
        <v>102640400</v>
      </c>
    </row>
    <row r="92" spans="1:7" ht="15" x14ac:dyDescent="0.25">
      <c r="A92" s="5">
        <v>31</v>
      </c>
      <c r="B92" s="1832">
        <f>'Assets-Liab 5-6'!C39</f>
        <v>1044858</v>
      </c>
      <c r="D92" s="2" t="str">
        <f t="shared" si="0"/>
        <v>Error?</v>
      </c>
      <c r="G92" s="1899">
        <v>102640600</v>
      </c>
    </row>
    <row r="93" spans="1:7" ht="15" x14ac:dyDescent="0.25">
      <c r="A93" s="5">
        <v>32</v>
      </c>
      <c r="B93" s="1832">
        <f>'Assets-Liab 5-6'!C41</f>
        <v>1513599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807045</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807870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428821</v>
      </c>
      <c r="C122" s="2" t="s">
        <v>569</v>
      </c>
      <c r="D122" s="2" t="str">
        <f t="shared" si="0"/>
        <v>Error?</v>
      </c>
      <c r="G122" s="1899">
        <v>203000300</v>
      </c>
    </row>
    <row r="123" spans="1:7" ht="15" x14ac:dyDescent="0.25">
      <c r="A123" s="5">
        <v>62</v>
      </c>
      <c r="B123" s="1832">
        <f>'Assets-Liab 5-6'!D39</f>
        <v>379049</v>
      </c>
      <c r="D123" s="2" t="str">
        <f t="shared" si="0"/>
        <v>Error?</v>
      </c>
      <c r="G123" s="1899">
        <v>203000400</v>
      </c>
    </row>
    <row r="124" spans="1:7" ht="15" x14ac:dyDescent="0.25">
      <c r="A124" s="5">
        <v>63</v>
      </c>
      <c r="B124" s="1832">
        <f>'Assets-Liab 5-6'!D41</f>
        <v>807870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13725</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71698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50000</v>
      </c>
      <c r="C139" s="2" t="s">
        <v>569</v>
      </c>
      <c r="D139" s="2" t="str">
        <f t="shared" si="1"/>
        <v>Error?</v>
      </c>
    </row>
    <row r="140" spans="1:7" x14ac:dyDescent="0.2">
      <c r="A140" s="5">
        <v>79</v>
      </c>
      <c r="B140" s="1832">
        <f>'Assets-Liab 5-6'!E39</f>
        <v>21698</v>
      </c>
      <c r="D140" s="2" t="str">
        <f t="shared" si="1"/>
        <v>Error?</v>
      </c>
    </row>
    <row r="141" spans="1:7" x14ac:dyDescent="0.2">
      <c r="A141" s="5">
        <v>80</v>
      </c>
      <c r="B141" s="1832">
        <f>'Assets-Liab 5-6'!E41</f>
        <v>71698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87984</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427290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11390</v>
      </c>
      <c r="C169" s="2" t="s">
        <v>569</v>
      </c>
      <c r="D169" s="2" t="str">
        <f t="shared" si="1"/>
        <v>Error?</v>
      </c>
    </row>
    <row r="170" spans="1:4" x14ac:dyDescent="0.2">
      <c r="A170" s="5">
        <v>109</v>
      </c>
      <c r="B170" s="1832">
        <f>'Assets-Liab 5-6'!F39</f>
        <v>415900</v>
      </c>
      <c r="D170" s="2" t="str">
        <f t="shared" si="1"/>
        <v>Error?</v>
      </c>
    </row>
    <row r="171" spans="1:4" x14ac:dyDescent="0.2">
      <c r="A171" s="5">
        <v>110</v>
      </c>
      <c r="B171" s="1832">
        <f>'Assets-Liab 5-6'!F41</f>
        <v>427290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236160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371586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371586</v>
      </c>
      <c r="D189" s="2" t="str">
        <f t="shared" si="1"/>
        <v>Error?</v>
      </c>
    </row>
    <row r="190" spans="1:4" x14ac:dyDescent="0.2">
      <c r="A190" s="5">
        <v>129</v>
      </c>
      <c r="B190" s="1832">
        <f>'Assets-Liab 5-6'!G41</f>
        <v>371586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122117</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299180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299180</v>
      </c>
      <c r="D212" s="2" t="str">
        <f t="shared" si="2"/>
        <v>Error?</v>
      </c>
    </row>
    <row r="213" spans="1:4" x14ac:dyDescent="0.2">
      <c r="A213" s="12">
        <v>152</v>
      </c>
      <c r="B213" s="1832">
        <f>'Assets-Liab 5-6'!H41</f>
        <v>299180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0</v>
      </c>
      <c r="C279" s="2" t="s">
        <v>569</v>
      </c>
      <c r="D279" s="2" t="str">
        <f t="shared" si="3"/>
        <v>Error?</v>
      </c>
    </row>
    <row r="280" spans="1:4" x14ac:dyDescent="0.2">
      <c r="A280" s="5">
        <v>219</v>
      </c>
      <c r="B280" s="1832">
        <f>'Assets-Liab 5-6'!M40</f>
        <v>0</v>
      </c>
      <c r="D280" s="2" t="str">
        <f t="shared" si="3"/>
        <v>Error?</v>
      </c>
    </row>
    <row r="281" spans="1:4" x14ac:dyDescent="0.2">
      <c r="A281" s="5">
        <v>220</v>
      </c>
      <c r="B281" s="1832">
        <f>'Assets-Liab 5-6'!M41</f>
        <v>0</v>
      </c>
      <c r="C281" s="2" t="s">
        <v>569</v>
      </c>
      <c r="D281" s="2" t="str">
        <f t="shared" si="3"/>
        <v>Error?</v>
      </c>
    </row>
    <row r="282" spans="1:4" x14ac:dyDescent="0.2">
      <c r="A282" s="5">
        <v>221</v>
      </c>
      <c r="B282" s="1832">
        <f>'Assets-Liab 5-6'!N21</f>
        <v>21698</v>
      </c>
      <c r="D282" s="2" t="str">
        <f t="shared" si="3"/>
        <v>Error?</v>
      </c>
    </row>
    <row r="283" spans="1:4" x14ac:dyDescent="0.2">
      <c r="A283" s="5">
        <v>222</v>
      </c>
      <c r="B283" s="1832">
        <f>'Assets-Liab 5-6'!N22</f>
        <v>12805302</v>
      </c>
      <c r="D283" s="2" t="str">
        <f t="shared" si="3"/>
        <v>Error?</v>
      </c>
    </row>
    <row r="284" spans="1:4" x14ac:dyDescent="0.2">
      <c r="A284" s="5">
        <v>223</v>
      </c>
      <c r="B284" s="1832">
        <f>'Assets-Liab 5-6'!N23</f>
        <v>12827000</v>
      </c>
      <c r="C284" s="2" t="s">
        <v>569</v>
      </c>
      <c r="D284" s="2" t="str">
        <f t="shared" si="3"/>
        <v>Error?</v>
      </c>
    </row>
    <row r="285" spans="1:4" x14ac:dyDescent="0.2">
      <c r="A285" s="5">
        <v>224</v>
      </c>
      <c r="B285" s="1832">
        <f>'Assets-Liab 5-6'!N36</f>
        <v>12827000</v>
      </c>
      <c r="D285" s="2" t="str">
        <f t="shared" si="3"/>
        <v>Error?</v>
      </c>
    </row>
    <row r="286" spans="1:4" x14ac:dyDescent="0.2">
      <c r="A286" s="10">
        <v>225</v>
      </c>
      <c r="B286" s="1832"/>
      <c r="D286" s="2" t="str">
        <f t="shared" si="3"/>
        <v>OK</v>
      </c>
    </row>
    <row r="287" spans="1:4" x14ac:dyDescent="0.2">
      <c r="A287" s="5">
        <v>226</v>
      </c>
      <c r="B287" s="1832">
        <f>'Assets-Liab 5-6'!N37</f>
        <v>12827000</v>
      </c>
      <c r="C287" s="2" t="s">
        <v>569</v>
      </c>
      <c r="D287" s="2" t="str">
        <f t="shared" si="3"/>
        <v>Error?</v>
      </c>
    </row>
    <row r="288" spans="1:4" x14ac:dyDescent="0.2">
      <c r="A288" s="5">
        <v>227</v>
      </c>
      <c r="B288" s="1832">
        <f>'Assets-Liab 5-6'!N41</f>
        <v>12827000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3936939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106612</v>
      </c>
      <c r="D717" s="2" t="str">
        <f t="shared" si="10"/>
        <v>Error?</v>
      </c>
    </row>
    <row r="718" spans="1:4" x14ac:dyDescent="0.2">
      <c r="A718" s="5">
        <v>657</v>
      </c>
      <c r="B718" s="1832">
        <f>'Expenditures 15-22'!C14</f>
        <v>147110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4396843</v>
      </c>
      <c r="C720" s="2" t="s">
        <v>569</v>
      </c>
      <c r="D720" s="2" t="str">
        <f t="shared" si="10"/>
        <v>Error?</v>
      </c>
    </row>
    <row r="721" spans="1:4" x14ac:dyDescent="0.2">
      <c r="A721" s="5">
        <v>660</v>
      </c>
      <c r="B721" s="1832">
        <f>'Expenditures 15-22'!C36</f>
        <v>23193</v>
      </c>
      <c r="D721" s="2" t="str">
        <f t="shared" si="10"/>
        <v>Error?</v>
      </c>
    </row>
    <row r="722" spans="1:4" x14ac:dyDescent="0.2">
      <c r="A722" s="5">
        <v>661</v>
      </c>
      <c r="B722" s="1832">
        <f>'Expenditures 15-22'!C37</f>
        <v>12369</v>
      </c>
      <c r="D722" s="2" t="str">
        <f t="shared" si="10"/>
        <v>Error?</v>
      </c>
    </row>
    <row r="723" spans="1:4" x14ac:dyDescent="0.2">
      <c r="A723" s="5">
        <v>662</v>
      </c>
      <c r="B723" s="1832">
        <f>'Expenditures 15-22'!C38</f>
        <v>17189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11713</v>
      </c>
      <c r="D725" s="2" t="str">
        <f t="shared" si="10"/>
        <v>Error?</v>
      </c>
    </row>
    <row r="726" spans="1:4" x14ac:dyDescent="0.2">
      <c r="A726" s="5">
        <v>665</v>
      </c>
      <c r="B726" s="1832">
        <f>'Expenditures 15-22'!C41</f>
        <v>9954</v>
      </c>
      <c r="D726" s="2" t="str">
        <f t="shared" si="10"/>
        <v>Error?</v>
      </c>
    </row>
    <row r="727" spans="1:4" x14ac:dyDescent="0.2">
      <c r="A727" s="5">
        <v>666</v>
      </c>
      <c r="B727" s="1832">
        <f>'Expenditures 15-22'!C42</f>
        <v>74418</v>
      </c>
      <c r="C727" s="2" t="s">
        <v>569</v>
      </c>
      <c r="D727" s="2" t="str">
        <f t="shared" si="10"/>
        <v>Error?</v>
      </c>
    </row>
    <row r="728" spans="1:4" x14ac:dyDescent="0.2">
      <c r="A728" s="5">
        <v>667</v>
      </c>
      <c r="B728" s="1832">
        <f>'Expenditures 15-22'!C44</f>
        <v>900</v>
      </c>
      <c r="D728" s="2" t="str">
        <f t="shared" si="10"/>
        <v>Error?</v>
      </c>
    </row>
    <row r="729" spans="1:4" x14ac:dyDescent="0.2">
      <c r="A729" s="5">
        <v>668</v>
      </c>
      <c r="B729" s="1832">
        <f>'Expenditures 15-22'!C45</f>
        <v>12451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13351</v>
      </c>
      <c r="C731" s="2" t="s">
        <v>569</v>
      </c>
      <c r="D731" s="2" t="str">
        <f t="shared" si="10"/>
        <v>Error?</v>
      </c>
    </row>
    <row r="732" spans="1:4" x14ac:dyDescent="0.2">
      <c r="A732" s="5">
        <v>671</v>
      </c>
      <c r="B732" s="1832">
        <f>'Expenditures 15-22'!C49</f>
        <v>1400</v>
      </c>
      <c r="D732" s="2" t="str">
        <f t="shared" si="10"/>
        <v>Error?</v>
      </c>
    </row>
    <row r="733" spans="1:4" x14ac:dyDescent="0.2">
      <c r="A733" s="5">
        <v>672</v>
      </c>
      <c r="B733" s="1832">
        <f>'Expenditures 15-22'!C50</f>
        <v>199504</v>
      </c>
      <c r="D733" s="2" t="str">
        <f t="shared" si="10"/>
        <v>Error?</v>
      </c>
    </row>
    <row r="734" spans="1:4" x14ac:dyDescent="0.2">
      <c r="A734" s="5">
        <v>673</v>
      </c>
      <c r="B734" s="1832">
        <f>'Expenditures 15-22'!C53</f>
        <v>200904</v>
      </c>
      <c r="C734" s="2" t="s">
        <v>569</v>
      </c>
      <c r="D734" s="2" t="str">
        <f t="shared" si="10"/>
        <v>Error?</v>
      </c>
    </row>
    <row r="735" spans="1:4" x14ac:dyDescent="0.2">
      <c r="A735" s="5">
        <v>674</v>
      </c>
      <c r="B735" s="1832">
        <f>'Expenditures 15-22'!C55</f>
        <v>467722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467722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110310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16416</v>
      </c>
      <c r="D741" s="2" t="str">
        <f t="shared" si="10"/>
        <v>Error?</v>
      </c>
    </row>
    <row r="742" spans="1:4" x14ac:dyDescent="0.2">
      <c r="A742" s="5">
        <v>681</v>
      </c>
      <c r="B742" s="1832">
        <f>'Expenditures 15-22'!C63</f>
        <v>160308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287034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1043429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5440272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952083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26279</v>
      </c>
      <c r="D775" s="2" t="str">
        <f t="shared" si="11"/>
        <v>Error?</v>
      </c>
    </row>
    <row r="776" spans="1:4" x14ac:dyDescent="0.2">
      <c r="A776" s="5">
        <v>715</v>
      </c>
      <c r="B776" s="1832">
        <f>'Expenditures 15-22'!D14</f>
        <v>14321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1026960</v>
      </c>
      <c r="C778" s="2" t="s">
        <v>569</v>
      </c>
      <c r="D778" s="2" t="str">
        <f t="shared" si="11"/>
        <v>Error?</v>
      </c>
    </row>
    <row r="779" spans="1:4" x14ac:dyDescent="0.2">
      <c r="A779" s="5">
        <v>718</v>
      </c>
      <c r="B779" s="1832">
        <f>'Expenditures 15-22'!D36</f>
        <v>3251</v>
      </c>
      <c r="D779" s="2" t="str">
        <f t="shared" si="11"/>
        <v>Error?</v>
      </c>
    </row>
    <row r="780" spans="1:4" x14ac:dyDescent="0.2">
      <c r="A780" s="5">
        <v>719</v>
      </c>
      <c r="B780" s="1832">
        <f>'Expenditures 15-22'!D37</f>
        <v>1004</v>
      </c>
      <c r="D780" s="2" t="str">
        <f t="shared" si="11"/>
        <v>Error?</v>
      </c>
    </row>
    <row r="781" spans="1:4" x14ac:dyDescent="0.2">
      <c r="A781" s="5">
        <v>720</v>
      </c>
      <c r="B781" s="1832">
        <f>'Expenditures 15-22'!D38</f>
        <v>4685</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1094</v>
      </c>
      <c r="D783" s="2" t="str">
        <f t="shared" si="11"/>
        <v>Error?</v>
      </c>
    </row>
    <row r="784" spans="1:4" x14ac:dyDescent="0.2">
      <c r="A784" s="5">
        <v>723</v>
      </c>
      <c r="B784" s="1832">
        <f>'Expenditures 15-22'!D41</f>
        <v>3050</v>
      </c>
      <c r="D784" s="2" t="str">
        <f t="shared" si="11"/>
        <v>Error?</v>
      </c>
    </row>
    <row r="785" spans="1:4" x14ac:dyDescent="0.2">
      <c r="A785" s="5">
        <v>724</v>
      </c>
      <c r="B785" s="1832">
        <f>'Expenditures 15-22'!D42</f>
        <v>13084</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3285</v>
      </c>
      <c r="D790" s="2" t="str">
        <f t="shared" si="11"/>
        <v>Error?</v>
      </c>
    </row>
    <row r="791" spans="1:4" x14ac:dyDescent="0.2">
      <c r="A791" s="5">
        <v>730</v>
      </c>
      <c r="B791" s="1832">
        <f>'Expenditures 15-22'!D50</f>
        <v>47532</v>
      </c>
      <c r="D791" s="2" t="str">
        <f t="shared" si="11"/>
        <v>Error?</v>
      </c>
    </row>
    <row r="792" spans="1:4" x14ac:dyDescent="0.2">
      <c r="A792" s="5">
        <v>731</v>
      </c>
      <c r="B792" s="1832">
        <f>'Expenditures 15-22'!D53</f>
        <v>50817</v>
      </c>
      <c r="C792" s="2" t="s">
        <v>569</v>
      </c>
      <c r="D792" s="2" t="str">
        <f t="shared" si="11"/>
        <v>Error?</v>
      </c>
    </row>
    <row r="793" spans="1:4" x14ac:dyDescent="0.2">
      <c r="A793" s="5">
        <v>732</v>
      </c>
      <c r="B793" s="1832">
        <f>'Expenditures 15-22'!D55</f>
        <v>103535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103535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36245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4887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41132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208568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1235528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1796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5578</v>
      </c>
      <c r="D833" s="2" t="str">
        <f t="shared" si="12"/>
        <v>Error?</v>
      </c>
    </row>
    <row r="834" spans="1:4" x14ac:dyDescent="0.2">
      <c r="A834" s="5">
        <v>773</v>
      </c>
      <c r="B834" s="1832">
        <f>'Expenditures 15-22'!E14</f>
        <v>18613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30072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27662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1014</v>
      </c>
      <c r="D842" s="2" t="str">
        <f t="shared" si="12"/>
        <v>Error?</v>
      </c>
    </row>
    <row r="843" spans="1:4" x14ac:dyDescent="0.2">
      <c r="A843" s="5">
        <v>782</v>
      </c>
      <c r="B843" s="1832">
        <f>'Expenditures 15-22'!E42</f>
        <v>28676</v>
      </c>
      <c r="C843" s="2" t="s">
        <v>569</v>
      </c>
      <c r="D843" s="2" t="str">
        <f t="shared" si="12"/>
        <v>Error?</v>
      </c>
    </row>
    <row r="844" spans="1:4" x14ac:dyDescent="0.2">
      <c r="A844" s="5">
        <v>783</v>
      </c>
      <c r="B844" s="1832">
        <f>'Expenditures 15-22'!E44</f>
        <v>16759</v>
      </c>
      <c r="D844" s="2" t="str">
        <f t="shared" si="12"/>
        <v>Error?</v>
      </c>
    </row>
    <row r="845" spans="1:4" x14ac:dyDescent="0.2">
      <c r="A845" s="5">
        <v>784</v>
      </c>
      <c r="B845" s="1832">
        <f>'Expenditures 15-22'!E45</f>
        <v>2550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19309</v>
      </c>
      <c r="C847" s="2" t="s">
        <v>569</v>
      </c>
      <c r="D847" s="2" t="str">
        <f t="shared" si="12"/>
        <v>Error?</v>
      </c>
    </row>
    <row r="848" spans="1:4" x14ac:dyDescent="0.2">
      <c r="A848" s="5">
        <v>787</v>
      </c>
      <c r="B848" s="1832">
        <f>'Expenditures 15-22'!E49</f>
        <v>33172</v>
      </c>
      <c r="D848" s="2" t="str">
        <f t="shared" si="12"/>
        <v>Error?</v>
      </c>
    </row>
    <row r="849" spans="1:4" x14ac:dyDescent="0.2">
      <c r="A849" s="5">
        <v>788</v>
      </c>
      <c r="B849" s="1832">
        <f>'Expenditures 15-22'!E50</f>
        <v>1126</v>
      </c>
      <c r="D849" s="2" t="str">
        <f t="shared" si="12"/>
        <v>Error?</v>
      </c>
    </row>
    <row r="850" spans="1:4" x14ac:dyDescent="0.2">
      <c r="A850" s="5">
        <v>789</v>
      </c>
      <c r="B850" s="1832">
        <f>'Expenditures 15-22'!E53</f>
        <v>34298</v>
      </c>
      <c r="C850" s="2" t="s">
        <v>569</v>
      </c>
      <c r="D850" s="2" t="str">
        <f t="shared" si="12"/>
        <v>Error?</v>
      </c>
    </row>
    <row r="851" spans="1:4" x14ac:dyDescent="0.2">
      <c r="A851" s="5">
        <v>790</v>
      </c>
      <c r="B851" s="1832">
        <f>'Expenditures 15-22'!E55</f>
        <v>20395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20395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799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2161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2960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105638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135710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125006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4837</v>
      </c>
      <c r="D891" s="2" t="str">
        <f t="shared" si="12"/>
        <v>Error?</v>
      </c>
    </row>
    <row r="892" spans="1:4" x14ac:dyDescent="0.2">
      <c r="A892" s="5">
        <v>831</v>
      </c>
      <c r="B892" s="1832">
        <f>'Expenditures 15-22'!F14</f>
        <v>24654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175147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4391</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4391</v>
      </c>
      <c r="C901" s="2" t="s">
        <v>569</v>
      </c>
      <c r="D901" s="2" t="str">
        <f t="shared" si="13"/>
        <v>Error?</v>
      </c>
    </row>
    <row r="902" spans="1:4" x14ac:dyDescent="0.2">
      <c r="A902" s="5">
        <v>841</v>
      </c>
      <c r="B902" s="1832">
        <f>'Expenditures 15-22'!F44</f>
        <v>10565</v>
      </c>
      <c r="D902" s="2" t="str">
        <f t="shared" si="13"/>
        <v>Error?</v>
      </c>
    </row>
    <row r="903" spans="1:4" x14ac:dyDescent="0.2">
      <c r="A903" s="5">
        <v>842</v>
      </c>
      <c r="B903" s="1832">
        <f>'Expenditures 15-22'!F45</f>
        <v>5315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15880</v>
      </c>
      <c r="C905" s="2" t="s">
        <v>569</v>
      </c>
      <c r="D905" s="2" t="str">
        <f t="shared" si="13"/>
        <v>Error?</v>
      </c>
    </row>
    <row r="906" spans="1:4" x14ac:dyDescent="0.2">
      <c r="A906" s="5">
        <v>845</v>
      </c>
      <c r="B906" s="1832">
        <f>'Expenditures 15-22'!F49</f>
        <v>5840</v>
      </c>
      <c r="D906" s="2" t="str">
        <f t="shared" si="13"/>
        <v>Error?</v>
      </c>
    </row>
    <row r="907" spans="1:4" x14ac:dyDescent="0.2">
      <c r="A907" s="5">
        <v>846</v>
      </c>
      <c r="B907" s="1832">
        <f>'Expenditures 15-22'!F50</f>
        <v>578</v>
      </c>
      <c r="D907" s="2" t="str">
        <f t="shared" si="13"/>
        <v>Error?</v>
      </c>
    </row>
    <row r="908" spans="1:4" x14ac:dyDescent="0.2">
      <c r="A908" s="5">
        <v>847</v>
      </c>
      <c r="B908" s="1832">
        <f>'Expenditures 15-22'!F53</f>
        <v>6418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9192</v>
      </c>
      <c r="D913" s="2" t="str">
        <f t="shared" si="13"/>
        <v>Error?</v>
      </c>
    </row>
    <row r="914" spans="1:4" x14ac:dyDescent="0.2">
      <c r="A914" s="5">
        <v>853</v>
      </c>
      <c r="B914" s="1832">
        <f>'Expenditures 15-22'!F61</f>
        <v>248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154976</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164416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191105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366252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28709</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59138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59138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10295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10295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5427</v>
      </c>
      <c r="D1022" s="2" t="str">
        <f t="shared" si="14"/>
        <v>Error?</v>
      </c>
    </row>
    <row r="1023" spans="1:4" x14ac:dyDescent="0.2">
      <c r="A1023" s="5">
        <v>962</v>
      </c>
      <c r="B1023" s="1832">
        <f>'Expenditures 15-22'!H50</f>
        <v>1252</v>
      </c>
      <c r="D1023" s="2" t="str">
        <f t="shared" ref="D1023:D1086" si="15">IF(ISBLANK(B1023),"OK",IF(A1023-B1023=0,"OK","Error?"))</f>
        <v>Error?</v>
      </c>
    </row>
    <row r="1024" spans="1:4" x14ac:dyDescent="0.2">
      <c r="A1024" s="5">
        <v>963</v>
      </c>
      <c r="B1024" s="1832">
        <f>'Expenditures 15-22'!H53</f>
        <v>6679</v>
      </c>
      <c r="C1024" s="2" t="s">
        <v>569</v>
      </c>
      <c r="D1024" s="2" t="str">
        <f t="shared" si="15"/>
        <v>Error?</v>
      </c>
    </row>
    <row r="1025" spans="1:4" x14ac:dyDescent="0.2">
      <c r="A1025" s="5">
        <v>964</v>
      </c>
      <c r="B1025" s="1832">
        <f>'Expenditures 15-22'!H55</f>
        <v>633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633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14790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14790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22102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537917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570314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5015824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172015</v>
      </c>
      <c r="C1105" s="2" t="s">
        <v>569</v>
      </c>
      <c r="D1105" s="2" t="str">
        <f t="shared" si="16"/>
        <v>Error?</v>
      </c>
    </row>
    <row r="1106" spans="1:4" x14ac:dyDescent="0.2">
      <c r="A1106" s="5">
        <v>1045</v>
      </c>
      <c r="B1106" s="1832">
        <f>'Expenditures 15-22'!K14</f>
        <v>214993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5698455</v>
      </c>
      <c r="C1108" s="2" t="s">
        <v>569</v>
      </c>
      <c r="D1108" s="2" t="str">
        <f t="shared" si="16"/>
        <v>Error?</v>
      </c>
    </row>
    <row r="1109" spans="1:4" x14ac:dyDescent="0.2">
      <c r="A1109" s="5">
        <v>1048</v>
      </c>
      <c r="B1109" s="1832">
        <f>'Expenditures 15-22'!K36</f>
        <v>26444</v>
      </c>
      <c r="C1109" s="2" t="s">
        <v>569</v>
      </c>
      <c r="D1109" s="2" t="str">
        <f t="shared" si="16"/>
        <v>Error?</v>
      </c>
    </row>
    <row r="1110" spans="1:4" x14ac:dyDescent="0.2">
      <c r="A1110" s="5">
        <v>1049</v>
      </c>
      <c r="B1110" s="1832">
        <f>'Expenditures 15-22'!K37</f>
        <v>13373</v>
      </c>
      <c r="C1110" s="2" t="s">
        <v>569</v>
      </c>
      <c r="D1110" s="2" t="str">
        <f t="shared" si="16"/>
        <v>Error?</v>
      </c>
    </row>
    <row r="1111" spans="1:4" x14ac:dyDescent="0.2">
      <c r="A1111" s="5">
        <v>1050</v>
      </c>
      <c r="B1111" s="1832">
        <f>'Expenditures 15-22'!K38</f>
        <v>53927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12807</v>
      </c>
      <c r="C1113" s="2" t="s">
        <v>569</v>
      </c>
      <c r="D1113" s="2" t="str">
        <f t="shared" si="16"/>
        <v>Error?</v>
      </c>
    </row>
    <row r="1114" spans="1:4" x14ac:dyDescent="0.2">
      <c r="A1114" s="5">
        <v>1053</v>
      </c>
      <c r="B1114" s="1832">
        <f>'Expenditures 15-22'!K41</f>
        <v>14018</v>
      </c>
      <c r="C1114" s="2" t="s">
        <v>569</v>
      </c>
      <c r="D1114" s="2" t="str">
        <f t="shared" si="16"/>
        <v>Error?</v>
      </c>
    </row>
    <row r="1115" spans="1:4" x14ac:dyDescent="0.2">
      <c r="A1115" s="5">
        <v>1054</v>
      </c>
      <c r="B1115" s="1832">
        <f>'Expenditures 15-22'!K42</f>
        <v>120569</v>
      </c>
      <c r="C1115" s="2" t="s">
        <v>569</v>
      </c>
      <c r="D1115" s="2" t="str">
        <f t="shared" si="16"/>
        <v>Error?</v>
      </c>
    </row>
    <row r="1116" spans="1:4" x14ac:dyDescent="0.2">
      <c r="A1116" s="5">
        <v>1055</v>
      </c>
      <c r="B1116" s="1832">
        <f>'Expenditures 15-22'!K44</f>
        <v>28224</v>
      </c>
      <c r="C1116" s="2" t="s">
        <v>569</v>
      </c>
      <c r="D1116" s="2" t="str">
        <f t="shared" si="16"/>
        <v>Error?</v>
      </c>
    </row>
    <row r="1117" spans="1:4" x14ac:dyDescent="0.2">
      <c r="A1117" s="5">
        <v>1056</v>
      </c>
      <c r="B1117" s="1832">
        <f>'Expenditures 15-22'!K45</f>
        <v>20316</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48540</v>
      </c>
      <c r="C1119" s="2" t="s">
        <v>569</v>
      </c>
      <c r="D1119" s="2" t="str">
        <f t="shared" si="16"/>
        <v>Error?</v>
      </c>
    </row>
    <row r="1120" spans="1:4" x14ac:dyDescent="0.2">
      <c r="A1120" s="5">
        <v>1059</v>
      </c>
      <c r="B1120" s="1832">
        <f>'Expenditures 15-22'!K49</f>
        <v>49124</v>
      </c>
      <c r="C1120" s="2" t="s">
        <v>569</v>
      </c>
      <c r="D1120" s="2" t="str">
        <f t="shared" si="16"/>
        <v>Error?</v>
      </c>
    </row>
    <row r="1121" spans="1:4" x14ac:dyDescent="0.2">
      <c r="A1121" s="5">
        <v>1060</v>
      </c>
      <c r="B1121" s="1832">
        <f>'Expenditures 15-22'!K50</f>
        <v>249992</v>
      </c>
      <c r="C1121" s="2" t="s">
        <v>569</v>
      </c>
      <c r="D1121" s="2" t="str">
        <f t="shared" si="16"/>
        <v>Error?</v>
      </c>
    </row>
    <row r="1122" spans="1:4" x14ac:dyDescent="0.2">
      <c r="A1122" s="5">
        <v>1061</v>
      </c>
      <c r="B1122" s="1832">
        <f>'Expenditures 15-22'!K53</f>
        <v>299116</v>
      </c>
      <c r="C1122" s="2" t="s">
        <v>569</v>
      </c>
      <c r="D1122" s="2" t="str">
        <f t="shared" si="16"/>
        <v>Error?</v>
      </c>
    </row>
    <row r="1123" spans="1:4" x14ac:dyDescent="0.2">
      <c r="A1123" s="5">
        <v>1062</v>
      </c>
      <c r="B1123" s="1832">
        <f>'Expenditures 15-22'!K55</f>
        <v>592285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592285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171336</v>
      </c>
      <c r="C1127" s="2" t="s">
        <v>569</v>
      </c>
      <c r="D1127" s="2" t="str">
        <f t="shared" si="16"/>
        <v>Error?</v>
      </c>
    </row>
    <row r="1128" spans="1:4" x14ac:dyDescent="0.2">
      <c r="A1128" s="5">
        <v>1067</v>
      </c>
      <c r="B1128" s="1832">
        <f>'Expenditures 15-22'!K61</f>
        <v>248</v>
      </c>
      <c r="C1128" s="2" t="s">
        <v>569</v>
      </c>
      <c r="D1128" s="2" t="str">
        <f t="shared" si="16"/>
        <v>Error?</v>
      </c>
    </row>
    <row r="1129" spans="1:4" x14ac:dyDescent="0.2">
      <c r="A1129" s="5">
        <v>1068</v>
      </c>
      <c r="B1129" s="1832">
        <f>'Expenditures 15-22'!K62</f>
        <v>16416</v>
      </c>
      <c r="C1129" s="2" t="s">
        <v>569</v>
      </c>
      <c r="D1129" s="2" t="str">
        <f t="shared" si="16"/>
        <v>Error?</v>
      </c>
    </row>
    <row r="1130" spans="1:4" x14ac:dyDescent="0.2">
      <c r="A1130" s="5">
        <v>1069</v>
      </c>
      <c r="B1130" s="1832">
        <f>'Expenditures 15-22'!K63</f>
        <v>322332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510332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1570842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537917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7807214</v>
      </c>
      <c r="C1152" s="2" t="s">
        <v>569</v>
      </c>
      <c r="D1152" s="2" t="str">
        <f t="shared" si="17"/>
        <v>Error?</v>
      </c>
    </row>
    <row r="1153" spans="1:4" x14ac:dyDescent="0.2">
      <c r="A1153" s="5">
        <v>1092</v>
      </c>
      <c r="B1153" s="1832">
        <f>'Expenditures 15-22'!K115</f>
        <v>392346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401218</v>
      </c>
      <c r="D1221" s="2" t="str">
        <f t="shared" si="18"/>
        <v>Error?</v>
      </c>
    </row>
    <row r="1222" spans="1:4" x14ac:dyDescent="0.2">
      <c r="A1222" s="10">
        <v>1161</v>
      </c>
      <c r="B1222" s="1832"/>
      <c r="D1222" s="2" t="str">
        <f t="shared" si="18"/>
        <v>OK</v>
      </c>
    </row>
    <row r="1223" spans="1:4" x14ac:dyDescent="0.2">
      <c r="A1223" s="5">
        <v>1162</v>
      </c>
      <c r="B1223" s="1832">
        <f>'Expenditures 15-22'!C127</f>
        <v>401218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401218</v>
      </c>
      <c r="C1225" s="2" t="s">
        <v>569</v>
      </c>
      <c r="D1225" s="2" t="str">
        <f t="shared" si="18"/>
        <v>Error?</v>
      </c>
    </row>
    <row r="1226" spans="1:4" x14ac:dyDescent="0.2">
      <c r="A1226" s="5">
        <v>1165</v>
      </c>
      <c r="B1226" s="1832">
        <f>'Expenditures 15-22'!C151</f>
        <v>401218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69205</v>
      </c>
      <c r="D1229" s="2" t="str">
        <f t="shared" si="18"/>
        <v>Error?</v>
      </c>
    </row>
    <row r="1230" spans="1:4" x14ac:dyDescent="0.2">
      <c r="A1230" s="10">
        <v>1169</v>
      </c>
      <c r="B1230" s="1832"/>
      <c r="D1230" s="2" t="str">
        <f t="shared" si="18"/>
        <v>OK</v>
      </c>
    </row>
    <row r="1231" spans="1:4" x14ac:dyDescent="0.2">
      <c r="A1231" s="5">
        <v>1170</v>
      </c>
      <c r="B1231" s="1832">
        <f>'Expenditures 15-22'!D127</f>
        <v>69205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69205</v>
      </c>
      <c r="C1233" s="2" t="s">
        <v>569</v>
      </c>
      <c r="D1233" s="2" t="str">
        <f t="shared" si="18"/>
        <v>Error?</v>
      </c>
    </row>
    <row r="1234" spans="1:4" x14ac:dyDescent="0.2">
      <c r="A1234" s="5">
        <v>1173</v>
      </c>
      <c r="B1234" s="1832">
        <f>'Expenditures 15-22'!D151</f>
        <v>69205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10500</v>
      </c>
      <c r="D1236" s="2" t="str">
        <f t="shared" si="18"/>
        <v>Error?</v>
      </c>
    </row>
    <row r="1237" spans="1:4" x14ac:dyDescent="0.2">
      <c r="A1237" s="5">
        <v>1176</v>
      </c>
      <c r="B1237" s="1832">
        <f>'Expenditures 15-22'!E124</f>
        <v>526493</v>
      </c>
      <c r="D1237" s="2" t="str">
        <f t="shared" si="18"/>
        <v>Error?</v>
      </c>
    </row>
    <row r="1238" spans="1:4" x14ac:dyDescent="0.2">
      <c r="A1238" s="10">
        <v>1177</v>
      </c>
      <c r="B1238" s="1832"/>
      <c r="D1238" s="2" t="str">
        <f t="shared" si="18"/>
        <v>OK</v>
      </c>
    </row>
    <row r="1239" spans="1:4" x14ac:dyDescent="0.2">
      <c r="A1239" s="5">
        <v>1178</v>
      </c>
      <c r="B1239" s="1832">
        <f>'Expenditures 15-22'!E127</f>
        <v>536993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536993</v>
      </c>
      <c r="C1241" s="2" t="s">
        <v>569</v>
      </c>
      <c r="D1241" s="2" t="str">
        <f t="shared" si="18"/>
        <v>Error?</v>
      </c>
    </row>
    <row r="1242" spans="1:4" x14ac:dyDescent="0.2">
      <c r="A1242" s="5">
        <v>1181</v>
      </c>
      <c r="B1242" s="1832">
        <f>'Expenditures 15-22'!E151</f>
        <v>536993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281766</v>
      </c>
      <c r="D1245" s="2" t="str">
        <f t="shared" si="18"/>
        <v>Error?</v>
      </c>
    </row>
    <row r="1246" spans="1:4" x14ac:dyDescent="0.2">
      <c r="A1246" s="10">
        <v>1185</v>
      </c>
      <c r="B1246" s="1832"/>
      <c r="D1246" s="2" t="str">
        <f t="shared" si="18"/>
        <v>OK</v>
      </c>
    </row>
    <row r="1247" spans="1:4" x14ac:dyDescent="0.2">
      <c r="A1247" s="5">
        <v>1186</v>
      </c>
      <c r="B1247" s="1832">
        <f>'Expenditures 15-22'!F127</f>
        <v>281766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281766</v>
      </c>
      <c r="C1249" s="2" t="s">
        <v>569</v>
      </c>
      <c r="D1249" s="2" t="str">
        <f t="shared" si="18"/>
        <v>Error?</v>
      </c>
    </row>
    <row r="1250" spans="1:4" x14ac:dyDescent="0.2">
      <c r="A1250" s="5">
        <v>1189</v>
      </c>
      <c r="B1250" s="1832">
        <f>'Expenditures 15-22'!F151</f>
        <v>281766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195754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195754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195754</v>
      </c>
      <c r="C1258" s="2" t="s">
        <v>569</v>
      </c>
      <c r="D1258" s="2" t="str">
        <f t="shared" si="18"/>
        <v>Error?</v>
      </c>
    </row>
    <row r="1259" spans="1:4" x14ac:dyDescent="0.2">
      <c r="A1259" s="5">
        <v>1198</v>
      </c>
      <c r="B1259" s="1832">
        <f>'Expenditures 15-22'!G151</f>
        <v>195754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366</v>
      </c>
      <c r="D1262" s="2" t="str">
        <f t="shared" si="18"/>
        <v>Error?</v>
      </c>
    </row>
    <row r="1263" spans="1:4" x14ac:dyDescent="0.2">
      <c r="A1263" s="10">
        <v>1202</v>
      </c>
      <c r="B1263" s="1832"/>
      <c r="D1263" s="2" t="str">
        <f t="shared" si="18"/>
        <v>OK</v>
      </c>
    </row>
    <row r="1264" spans="1:4" x14ac:dyDescent="0.2">
      <c r="A1264" s="5">
        <v>1203</v>
      </c>
      <c r="B1264" s="1832">
        <f>'Expenditures 15-22'!H127</f>
        <v>366</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366</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366</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10500</v>
      </c>
      <c r="C1275" s="2" t="s">
        <v>569</v>
      </c>
      <c r="D1275" s="2" t="str">
        <f t="shared" si="18"/>
        <v>Error?</v>
      </c>
    </row>
    <row r="1276" spans="1:4" x14ac:dyDescent="0.2">
      <c r="A1276" s="5">
        <v>1215</v>
      </c>
      <c r="B1276" s="1832">
        <f>'Expenditures 15-22'!K124</f>
        <v>1474802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1485302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1485302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1485302</v>
      </c>
      <c r="C1288" s="2" t="s">
        <v>569</v>
      </c>
      <c r="D1288" s="2" t="str">
        <f t="shared" si="19"/>
        <v>Error?</v>
      </c>
    </row>
    <row r="1289" spans="1:4" x14ac:dyDescent="0.2">
      <c r="A1289" s="5">
        <v>1228</v>
      </c>
      <c r="B1289" s="1832">
        <f>'Expenditures 15-22'!K152</f>
        <v>-171269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530640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2388000</v>
      </c>
      <c r="D1315" s="2" t="str">
        <f t="shared" si="19"/>
        <v>Error?</v>
      </c>
    </row>
    <row r="1316" spans="1:4" x14ac:dyDescent="0.2">
      <c r="A1316" s="5">
        <v>1255</v>
      </c>
      <c r="B1316" s="1832">
        <f>'Expenditures 15-22'!H171</f>
        <v>2300</v>
      </c>
      <c r="D1316" s="2" t="str">
        <f t="shared" si="19"/>
        <v>Error?</v>
      </c>
    </row>
    <row r="1317" spans="1:4" x14ac:dyDescent="0.2">
      <c r="A1317" s="5">
        <v>1256</v>
      </c>
      <c r="B1317" s="1832">
        <f>'Expenditures 15-22'!H172</f>
        <v>2920940</v>
      </c>
      <c r="C1317" s="2" t="s">
        <v>569</v>
      </c>
      <c r="D1317" s="2" t="str">
        <f t="shared" si="19"/>
        <v>Error?</v>
      </c>
    </row>
    <row r="1318" spans="1:4" x14ac:dyDescent="0.2">
      <c r="A1318" s="5">
        <v>1257</v>
      </c>
      <c r="B1318" s="1832">
        <f>'Expenditures 15-22'!H174</f>
        <v>2920940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530640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2388000</v>
      </c>
      <c r="C1329" s="2" t="s">
        <v>569</v>
      </c>
      <c r="D1329" s="2" t="str">
        <f t="shared" si="19"/>
        <v>Error?</v>
      </c>
    </row>
    <row r="1330" spans="1:4" x14ac:dyDescent="0.2">
      <c r="A1330" s="5">
        <v>1269</v>
      </c>
      <c r="B1330" s="1832">
        <f>'Expenditures 15-22'!K171</f>
        <v>2300</v>
      </c>
      <c r="C1330" s="2" t="s">
        <v>569</v>
      </c>
      <c r="D1330" s="2" t="str">
        <f t="shared" si="19"/>
        <v>Error?</v>
      </c>
    </row>
    <row r="1331" spans="1:4" x14ac:dyDescent="0.2">
      <c r="A1331" s="5">
        <v>1270</v>
      </c>
      <c r="B1331" s="1832">
        <f>'Expenditures 15-22'!K172</f>
        <v>2920940</v>
      </c>
      <c r="C1331" s="2" t="s">
        <v>569</v>
      </c>
      <c r="D1331" s="2" t="str">
        <f t="shared" si="19"/>
        <v>Error?</v>
      </c>
    </row>
    <row r="1332" spans="1:4" x14ac:dyDescent="0.2">
      <c r="A1332" s="5">
        <v>1271</v>
      </c>
      <c r="B1332" s="1832">
        <f>'Expenditures 15-22'!K174</f>
        <v>2920940</v>
      </c>
      <c r="C1332" s="2" t="s">
        <v>569</v>
      </c>
      <c r="D1332" s="2" t="str">
        <f t="shared" si="19"/>
        <v>Error?</v>
      </c>
    </row>
    <row r="1333" spans="1:4" x14ac:dyDescent="0.2">
      <c r="A1333" s="5">
        <v>1272</v>
      </c>
      <c r="B1333" s="1832">
        <f>'Expenditures 15-22'!K175</f>
        <v>-445118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399831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399831</v>
      </c>
      <c r="C1339" s="2" t="s">
        <v>569</v>
      </c>
      <c r="D1339" s="2" t="str">
        <f t="shared" si="19"/>
        <v>Error?</v>
      </c>
    </row>
    <row r="1340" spans="1:4" x14ac:dyDescent="0.2">
      <c r="A1340" s="5">
        <v>1279</v>
      </c>
      <c r="B1340" s="1832">
        <f>'Expenditures 15-22'!C210</f>
        <v>399831</v>
      </c>
      <c r="C1340" s="2" t="s">
        <v>569</v>
      </c>
      <c r="D1340" s="2" t="str">
        <f t="shared" si="19"/>
        <v>Error?</v>
      </c>
    </row>
    <row r="1341" spans="1:4" x14ac:dyDescent="0.2">
      <c r="A1341" s="5">
        <v>1280</v>
      </c>
      <c r="B1341" s="1832">
        <f>'Expenditures 15-22'!D182</f>
        <v>2451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2451</v>
      </c>
      <c r="C1345" s="2" t="s">
        <v>569</v>
      </c>
      <c r="D1345" s="2" t="str">
        <f t="shared" si="20"/>
        <v>Error?</v>
      </c>
    </row>
    <row r="1346" spans="1:4" x14ac:dyDescent="0.2">
      <c r="A1346" s="5">
        <v>1285</v>
      </c>
      <c r="B1346" s="1832">
        <f>'Expenditures 15-22'!D210</f>
        <v>2451</v>
      </c>
      <c r="C1346" s="2" t="s">
        <v>569</v>
      </c>
      <c r="D1346" s="2" t="str">
        <f t="shared" si="20"/>
        <v>Error?</v>
      </c>
    </row>
    <row r="1347" spans="1:4" x14ac:dyDescent="0.2">
      <c r="A1347" s="5">
        <v>1286</v>
      </c>
      <c r="B1347" s="1832">
        <f>'Expenditures 15-22'!E182</f>
        <v>37496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37496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37496</v>
      </c>
      <c r="C1353" s="2" t="s">
        <v>569</v>
      </c>
      <c r="D1353" s="2" t="str">
        <f t="shared" si="20"/>
        <v>Error?</v>
      </c>
    </row>
    <row r="1354" spans="1:4" x14ac:dyDescent="0.2">
      <c r="A1354" s="5">
        <v>1293</v>
      </c>
      <c r="B1354" s="1832">
        <f>'Expenditures 15-22'!F182</f>
        <v>78573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78573</v>
      </c>
      <c r="C1358" s="2" t="s">
        <v>569</v>
      </c>
      <c r="D1358" s="2" t="str">
        <f t="shared" si="20"/>
        <v>Error?</v>
      </c>
    </row>
    <row r="1359" spans="1:4" x14ac:dyDescent="0.2">
      <c r="A1359" s="5">
        <v>1298</v>
      </c>
      <c r="B1359" s="1832">
        <f>'Expenditures 15-22'!F210</f>
        <v>78573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742991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742991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742991</v>
      </c>
      <c r="C1388" s="2" t="s">
        <v>569</v>
      </c>
      <c r="D1388" s="2" t="str">
        <f t="shared" si="20"/>
        <v>Error?</v>
      </c>
    </row>
    <row r="1389" spans="1:4" x14ac:dyDescent="0.2">
      <c r="A1389" s="5">
        <v>1328</v>
      </c>
      <c r="B1389" s="1832">
        <f>'Expenditures 15-22'!K211</f>
        <v>142937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1445</v>
      </c>
      <c r="D1407" s="2" t="str">
        <f t="shared" ref="D1407:D1470" si="21">IF(ISBLANK(B1407),"OK",IF(A1407-B1407=0,"OK","Error?"))</f>
        <v>Error?</v>
      </c>
    </row>
    <row r="1408" spans="1:4" x14ac:dyDescent="0.2">
      <c r="A1408" s="5">
        <v>1347</v>
      </c>
      <c r="B1408" s="1832">
        <f>'Expenditures 15-22'!D223</f>
        <v>6023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109618</v>
      </c>
      <c r="C1410" s="2" t="s">
        <v>569</v>
      </c>
      <c r="D1410" s="2" t="str">
        <f t="shared" si="21"/>
        <v>Error?</v>
      </c>
    </row>
    <row r="1411" spans="1:4" x14ac:dyDescent="0.2">
      <c r="A1411" s="5">
        <v>1350</v>
      </c>
      <c r="B1411" s="1832">
        <f>'Expenditures 15-22'!D232</f>
        <v>333</v>
      </c>
      <c r="D1411" s="2" t="str">
        <f t="shared" si="21"/>
        <v>Error?</v>
      </c>
    </row>
    <row r="1412" spans="1:4" x14ac:dyDescent="0.2">
      <c r="A1412" s="5">
        <v>1351</v>
      </c>
      <c r="B1412" s="1832">
        <f>'Expenditures 15-22'!D233</f>
        <v>169</v>
      </c>
      <c r="D1412" s="2" t="str">
        <f t="shared" si="21"/>
        <v>Error?</v>
      </c>
    </row>
    <row r="1413" spans="1:4" x14ac:dyDescent="0.2">
      <c r="A1413" s="5">
        <v>1352</v>
      </c>
      <c r="B1413" s="1832">
        <f>'Expenditures 15-22'!D234</f>
        <v>4673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170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5345</v>
      </c>
      <c r="C1417" s="2" t="s">
        <v>569</v>
      </c>
      <c r="D1417" s="2" t="str">
        <f t="shared" si="21"/>
        <v>Error?</v>
      </c>
    </row>
    <row r="1418" spans="1:4" x14ac:dyDescent="0.2">
      <c r="A1418" s="5">
        <v>1357</v>
      </c>
      <c r="B1418" s="1832">
        <f>'Expenditures 15-22'!D240</f>
        <v>114</v>
      </c>
      <c r="D1418" s="2" t="str">
        <f t="shared" si="21"/>
        <v>Error?</v>
      </c>
    </row>
    <row r="1419" spans="1:4" x14ac:dyDescent="0.2">
      <c r="A1419" s="5">
        <v>1358</v>
      </c>
      <c r="B1419" s="1832">
        <f>'Expenditures 15-22'!D241</f>
        <v>2291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2405</v>
      </c>
      <c r="C1421" s="2" t="s">
        <v>569</v>
      </c>
      <c r="D1421" s="2" t="str">
        <f t="shared" si="21"/>
        <v>Error?</v>
      </c>
    </row>
    <row r="1422" spans="1:4" x14ac:dyDescent="0.2">
      <c r="A1422" s="5">
        <v>1361</v>
      </c>
      <c r="B1422" s="1832">
        <f>'Expenditures 15-22'!D245</f>
        <v>107</v>
      </c>
      <c r="D1422" s="2" t="str">
        <f t="shared" si="21"/>
        <v>Error?</v>
      </c>
    </row>
    <row r="1423" spans="1:4" x14ac:dyDescent="0.2">
      <c r="A1423" s="5">
        <v>1362</v>
      </c>
      <c r="B1423" s="1832">
        <f>'Expenditures 15-22'!D246</f>
        <v>10801</v>
      </c>
      <c r="D1423" s="2" t="str">
        <f t="shared" si="21"/>
        <v>Error?</v>
      </c>
    </row>
    <row r="1424" spans="1:4" x14ac:dyDescent="0.2">
      <c r="A1424" s="5">
        <v>1363</v>
      </c>
      <c r="B1424" s="1832">
        <f>'Expenditures 15-22'!D257</f>
        <v>10908</v>
      </c>
      <c r="C1424" s="2" t="s">
        <v>569</v>
      </c>
      <c r="D1424" s="2" t="str">
        <f t="shared" si="21"/>
        <v>Error?</v>
      </c>
    </row>
    <row r="1425" spans="1:4" x14ac:dyDescent="0.2">
      <c r="A1425" s="5">
        <v>1364</v>
      </c>
      <c r="B1425" s="1832">
        <f>'Expenditures 15-22'!D259</f>
        <v>36739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36739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8673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69037</v>
      </c>
      <c r="D1431" s="2" t="str">
        <f t="shared" si="21"/>
        <v>Error?</v>
      </c>
    </row>
    <row r="1432" spans="1:4" x14ac:dyDescent="0.2">
      <c r="A1432" s="5">
        <v>1371</v>
      </c>
      <c r="B1432" s="1832">
        <f>'Expenditures 15-22'!D267</f>
        <v>63845</v>
      </c>
      <c r="D1432" s="2" t="str">
        <f t="shared" si="21"/>
        <v>Error?</v>
      </c>
    </row>
    <row r="1433" spans="1:4" x14ac:dyDescent="0.2">
      <c r="A1433" s="5">
        <v>1372</v>
      </c>
      <c r="B1433" s="1832">
        <f>'Expenditures 15-22'!D268</f>
        <v>27435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168990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224387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334005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1445</v>
      </c>
      <c r="C1471" s="2" t="s">
        <v>569</v>
      </c>
      <c r="D1471" s="2" t="str">
        <f t="shared" ref="D1471:D1534" si="22">IF(ISBLANK(B1471),"OK",IF(A1471-B1471=0,"OK","Error?"))</f>
        <v>Error?</v>
      </c>
    </row>
    <row r="1472" spans="1:4" x14ac:dyDescent="0.2">
      <c r="A1472" s="5">
        <v>1411</v>
      </c>
      <c r="B1472" s="1832">
        <f>'Expenditures 15-22'!K223</f>
        <v>6023</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109618</v>
      </c>
      <c r="C1474" s="2" t="s">
        <v>569</v>
      </c>
      <c r="D1474" s="2" t="str">
        <f t="shared" si="22"/>
        <v>Error?</v>
      </c>
    </row>
    <row r="1475" spans="1:4" x14ac:dyDescent="0.2">
      <c r="A1475" s="5">
        <v>1414</v>
      </c>
      <c r="B1475" s="1832">
        <f>'Expenditures 15-22'!K232</f>
        <v>333</v>
      </c>
      <c r="C1475" s="2" t="s">
        <v>569</v>
      </c>
      <c r="D1475" s="2" t="str">
        <f t="shared" si="22"/>
        <v>Error?</v>
      </c>
    </row>
    <row r="1476" spans="1:4" x14ac:dyDescent="0.2">
      <c r="A1476" s="5">
        <v>1415</v>
      </c>
      <c r="B1476" s="1832">
        <f>'Expenditures 15-22'!K233</f>
        <v>169</v>
      </c>
      <c r="C1476" s="2" t="s">
        <v>569</v>
      </c>
      <c r="D1476" s="2" t="str">
        <f t="shared" si="22"/>
        <v>Error?</v>
      </c>
    </row>
    <row r="1477" spans="1:4" x14ac:dyDescent="0.2">
      <c r="A1477" s="5">
        <v>1416</v>
      </c>
      <c r="B1477" s="1832">
        <f>'Expenditures 15-22'!K234</f>
        <v>4673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170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5345</v>
      </c>
      <c r="C1481" s="2" t="s">
        <v>569</v>
      </c>
      <c r="D1481" s="2" t="str">
        <f t="shared" si="22"/>
        <v>Error?</v>
      </c>
    </row>
    <row r="1482" spans="1:4" x14ac:dyDescent="0.2">
      <c r="A1482" s="5">
        <v>1421</v>
      </c>
      <c r="B1482" s="1832">
        <f>'Expenditures 15-22'!K240</f>
        <v>114</v>
      </c>
      <c r="C1482" s="2" t="s">
        <v>569</v>
      </c>
      <c r="D1482" s="2" t="str">
        <f t="shared" si="22"/>
        <v>Error?</v>
      </c>
    </row>
    <row r="1483" spans="1:4" x14ac:dyDescent="0.2">
      <c r="A1483" s="5">
        <v>1422</v>
      </c>
      <c r="B1483" s="1832">
        <f>'Expenditures 15-22'!K241</f>
        <v>2291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2405</v>
      </c>
      <c r="C1485" s="2" t="s">
        <v>569</v>
      </c>
      <c r="D1485" s="2" t="str">
        <f t="shared" si="22"/>
        <v>Error?</v>
      </c>
    </row>
    <row r="1486" spans="1:4" x14ac:dyDescent="0.2">
      <c r="A1486" s="5">
        <v>1425</v>
      </c>
      <c r="B1486" s="1832">
        <f>'Expenditures 15-22'!K245</f>
        <v>107</v>
      </c>
      <c r="C1486" s="2" t="s">
        <v>569</v>
      </c>
      <c r="D1486" s="2" t="str">
        <f t="shared" si="22"/>
        <v>Error?</v>
      </c>
    </row>
    <row r="1487" spans="1:4" x14ac:dyDescent="0.2">
      <c r="A1487" s="5">
        <v>1426</v>
      </c>
      <c r="B1487" s="1832">
        <f>'Expenditures 15-22'!K246</f>
        <v>10801</v>
      </c>
      <c r="C1487" s="2" t="s">
        <v>569</v>
      </c>
      <c r="D1487" s="2" t="str">
        <f t="shared" si="22"/>
        <v>Error?</v>
      </c>
    </row>
    <row r="1488" spans="1:4" x14ac:dyDescent="0.2">
      <c r="A1488" s="5">
        <v>1427</v>
      </c>
      <c r="B1488" s="1832">
        <f>'Expenditures 15-22'!K257</f>
        <v>10908</v>
      </c>
      <c r="C1488" s="2" t="s">
        <v>569</v>
      </c>
      <c r="D1488" s="2" t="str">
        <f t="shared" si="22"/>
        <v>Error?</v>
      </c>
    </row>
    <row r="1489" spans="1:4" x14ac:dyDescent="0.2">
      <c r="A1489" s="5">
        <v>1428</v>
      </c>
      <c r="B1489" s="1832">
        <f>'Expenditures 15-22'!K259</f>
        <v>36739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36739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8673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69037</v>
      </c>
      <c r="C1495" s="2" t="s">
        <v>569</v>
      </c>
      <c r="D1495" s="2" t="str">
        <f t="shared" si="22"/>
        <v>Error?</v>
      </c>
    </row>
    <row r="1496" spans="1:4" x14ac:dyDescent="0.2">
      <c r="A1496" s="5">
        <v>1435</v>
      </c>
      <c r="B1496" s="1832">
        <f>'Expenditures 15-22'!K267</f>
        <v>63845</v>
      </c>
      <c r="C1496" s="2" t="s">
        <v>569</v>
      </c>
      <c r="D1496" s="2" t="str">
        <f t="shared" si="22"/>
        <v>Error?</v>
      </c>
    </row>
    <row r="1497" spans="1:4" x14ac:dyDescent="0.2">
      <c r="A1497" s="5">
        <v>1436</v>
      </c>
      <c r="B1497" s="1832">
        <f>'Expenditures 15-22'!K268</f>
        <v>27435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168990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224387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334005</v>
      </c>
      <c r="C1517" s="2" t="s">
        <v>569</v>
      </c>
      <c r="D1517" s="2" t="str">
        <f t="shared" si="22"/>
        <v>Error?</v>
      </c>
    </row>
    <row r="1518" spans="1:4" x14ac:dyDescent="0.2">
      <c r="A1518" s="5">
        <v>1457</v>
      </c>
      <c r="B1518" s="1832">
        <f>'Expenditures 15-22'!K296</f>
        <v>44311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269931</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269931</v>
      </c>
      <c r="C1535" s="2" t="s">
        <v>569</v>
      </c>
      <c r="D1535" s="2" t="str">
        <f t="shared" ref="D1535:D1598" si="23">IF(ISBLANK(B1535),"OK",IF(A1535-B1535=0,"OK","Error?"))</f>
        <v>Error?</v>
      </c>
    </row>
    <row r="1536" spans="1:4" x14ac:dyDescent="0.2">
      <c r="A1536" s="5">
        <v>1475</v>
      </c>
      <c r="B1536" s="1832">
        <f>'Expenditures 15-22'!E312</f>
        <v>269931</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87830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87830</v>
      </c>
      <c r="C1547" s="2" t="s">
        <v>569</v>
      </c>
      <c r="D1547" s="2" t="str">
        <f t="shared" si="23"/>
        <v>Error?</v>
      </c>
    </row>
    <row r="1548" spans="1:4" x14ac:dyDescent="0.2">
      <c r="A1548" s="5">
        <v>1487</v>
      </c>
      <c r="B1548" s="1832">
        <f>'Expenditures 15-22'!G312</f>
        <v>87830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357761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357761</v>
      </c>
      <c r="C1559" s="2" t="s">
        <v>569</v>
      </c>
      <c r="D1559" s="2" t="str">
        <f t="shared" si="23"/>
        <v>Error?</v>
      </c>
    </row>
    <row r="1560" spans="1:4" x14ac:dyDescent="0.2">
      <c r="A1560" s="5">
        <v>1499</v>
      </c>
      <c r="B1560" s="1832">
        <f>'Expenditures 15-22'!K312</f>
        <v>357761</v>
      </c>
      <c r="C1560" s="2" t="s">
        <v>569</v>
      </c>
      <c r="D1560" s="2" t="str">
        <f t="shared" si="23"/>
        <v>Error?</v>
      </c>
    </row>
    <row r="1561" spans="1:4" x14ac:dyDescent="0.2">
      <c r="A1561" s="5">
        <v>1500</v>
      </c>
      <c r="B1561" s="1832">
        <f>'Expenditures 15-22'!K313</f>
        <v>192598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652512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1044858</v>
      </c>
      <c r="C1630" s="2" t="s">
        <v>569</v>
      </c>
      <c r="D1630" s="2" t="str">
        <f t="shared" si="24"/>
        <v>Error?</v>
      </c>
    </row>
    <row r="1631" spans="1:4" x14ac:dyDescent="0.2">
      <c r="A1631" s="5">
        <v>1570</v>
      </c>
      <c r="B1631" s="1832">
        <f>'Acct Summary 7-8'!D79</f>
        <v>550318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379049</v>
      </c>
      <c r="C1644" s="2" t="s">
        <v>569</v>
      </c>
      <c r="D1644" s="2" t="str">
        <f t="shared" si="24"/>
        <v>Error?</v>
      </c>
    </row>
    <row r="1645" spans="1:4" x14ac:dyDescent="0.2">
      <c r="A1645" s="5">
        <v>1584</v>
      </c>
      <c r="B1645" s="1832">
        <f>'Acct Summary 7-8'!E79</f>
        <v>191816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21698</v>
      </c>
      <c r="C1658" s="2" t="s">
        <v>569</v>
      </c>
      <c r="D1658" s="2" t="str">
        <f t="shared" si="24"/>
        <v>Error?</v>
      </c>
    </row>
    <row r="1659" spans="1:4" x14ac:dyDescent="0.2">
      <c r="A1659" s="5">
        <v>1598</v>
      </c>
      <c r="B1659" s="1832">
        <f>'Acct Summary 7-8'!F79</f>
        <v>272963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415900</v>
      </c>
      <c r="C1672" s="2" t="s">
        <v>569</v>
      </c>
      <c r="D1672" s="2" t="str">
        <f t="shared" si="25"/>
        <v>Error?</v>
      </c>
    </row>
    <row r="1673" spans="1:4" x14ac:dyDescent="0.2">
      <c r="A1673" s="5">
        <v>1612</v>
      </c>
      <c r="B1673" s="1832">
        <f>'Acct Summary 7-8'!G79</f>
        <v>327275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371586</v>
      </c>
      <c r="C1686" s="2" t="s">
        <v>569</v>
      </c>
      <c r="D1686" s="2" t="str">
        <f t="shared" si="25"/>
        <v>Error?</v>
      </c>
    </row>
    <row r="1687" spans="1:4" x14ac:dyDescent="0.2">
      <c r="A1687" s="5">
        <v>1626</v>
      </c>
      <c r="B1687" s="1832">
        <f>'Acct Summary 7-8'!H79</f>
        <v>381582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299180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5206841</v>
      </c>
      <c r="C1744" s="2" t="s">
        <v>569</v>
      </c>
      <c r="D1744" s="2" t="str">
        <f t="shared" si="26"/>
        <v>Error?</v>
      </c>
    </row>
    <row r="1745" spans="1:5" x14ac:dyDescent="0.2">
      <c r="A1745" s="5">
        <v>1684</v>
      </c>
      <c r="B1745" s="1832">
        <f>'Tax Sched 23'!B5</f>
        <v>1131924</v>
      </c>
      <c r="C1745" s="2" t="s">
        <v>569</v>
      </c>
      <c r="D1745" s="2" t="str">
        <f t="shared" si="26"/>
        <v>Error?</v>
      </c>
    </row>
    <row r="1746" spans="1:5" x14ac:dyDescent="0.2">
      <c r="A1746" s="5">
        <v>1685</v>
      </c>
      <c r="B1746" s="1832">
        <f>'Tax Sched 23'!B6</f>
        <v>1264806</v>
      </c>
      <c r="C1746" s="2" t="s">
        <v>569</v>
      </c>
      <c r="D1746" s="2" t="str">
        <f t="shared" si="26"/>
        <v>Error?</v>
      </c>
    </row>
    <row r="1747" spans="1:5" x14ac:dyDescent="0.2">
      <c r="A1747" s="5">
        <v>1686</v>
      </c>
      <c r="B1747" s="1832">
        <f>'Tax Sched 23'!B7</f>
        <v>452769</v>
      </c>
      <c r="C1747" s="2" t="s">
        <v>569</v>
      </c>
      <c r="D1747" s="2" t="str">
        <f t="shared" si="26"/>
        <v>Error?</v>
      </c>
    </row>
    <row r="1748" spans="1:5" x14ac:dyDescent="0.2">
      <c r="A1748" s="5">
        <v>1687</v>
      </c>
      <c r="B1748" s="1832">
        <f>'Tax Sched 23'!B8</f>
        <v>131825</v>
      </c>
      <c r="C1748" s="2" t="s">
        <v>569</v>
      </c>
      <c r="D1748" s="2" t="str">
        <f t="shared" si="26"/>
        <v>Error?</v>
      </c>
    </row>
    <row r="1749" spans="1:5" x14ac:dyDescent="0.2">
      <c r="A1749" s="5">
        <v>1688</v>
      </c>
      <c r="B1749" s="1832">
        <f>'Tax Sched 23'!B10</f>
        <v>113193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499265</v>
      </c>
      <c r="C1752" s="2" t="s">
        <v>569</v>
      </c>
      <c r="D1752" s="2" t="str">
        <f t="shared" si="26"/>
        <v>Error?</v>
      </c>
    </row>
    <row r="1753" spans="1:5" x14ac:dyDescent="0.2">
      <c r="A1753" s="5">
        <v>1692</v>
      </c>
      <c r="B1753" s="1832">
        <f>'Tax Sched 23'!B12</f>
        <v>113193</v>
      </c>
      <c r="C1753" s="2" t="s">
        <v>569</v>
      </c>
      <c r="D1753" s="2" t="str">
        <f t="shared" si="26"/>
        <v>Error?</v>
      </c>
    </row>
    <row r="1754" spans="1:5" x14ac:dyDescent="0.2">
      <c r="A1754" s="5">
        <v>1693</v>
      </c>
      <c r="B1754" s="1832">
        <f>'Tax Sched 23'!B14</f>
        <v>90552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9357211</v>
      </c>
      <c r="C1759" s="2" t="s">
        <v>569</v>
      </c>
      <c r="D1759" s="2" t="str">
        <f t="shared" si="26"/>
        <v>Error?</v>
      </c>
    </row>
    <row r="1760" spans="1:5" x14ac:dyDescent="0.2">
      <c r="A1760" s="5">
        <v>1699</v>
      </c>
      <c r="B1760" s="1832">
        <f>'Tax Sched 23'!D4</f>
        <v>5206841</v>
      </c>
      <c r="C1760" s="2" t="s">
        <v>569</v>
      </c>
      <c r="D1760" s="2" t="str">
        <f t="shared" si="26"/>
        <v>Error?</v>
      </c>
    </row>
    <row r="1761" spans="1:7" x14ac:dyDescent="0.2">
      <c r="A1761" s="5">
        <v>1700</v>
      </c>
      <c r="B1761" s="1832">
        <f>'Tax Sched 23'!D5</f>
        <v>1131924</v>
      </c>
      <c r="C1761" s="2" t="s">
        <v>569</v>
      </c>
      <c r="D1761" s="2" t="str">
        <f t="shared" si="26"/>
        <v>Error?</v>
      </c>
    </row>
    <row r="1762" spans="1:7" s="8" customFormat="1" x14ac:dyDescent="0.2">
      <c r="A1762" s="5">
        <v>1701</v>
      </c>
      <c r="B1762" s="1832">
        <f>'Tax Sched 23'!D6</f>
        <v>1264806</v>
      </c>
      <c r="C1762" s="2" t="s">
        <v>569</v>
      </c>
      <c r="D1762" s="2" t="str">
        <f t="shared" si="26"/>
        <v>Error?</v>
      </c>
      <c r="E1762" s="9"/>
      <c r="G1762"/>
    </row>
    <row r="1763" spans="1:7" x14ac:dyDescent="0.2">
      <c r="A1763" s="5">
        <v>1702</v>
      </c>
      <c r="B1763" s="1832">
        <f>'Tax Sched 23'!D7</f>
        <v>452769</v>
      </c>
      <c r="C1763" s="2" t="s">
        <v>569</v>
      </c>
      <c r="D1763" s="2" t="str">
        <f t="shared" si="26"/>
        <v>Error?</v>
      </c>
    </row>
    <row r="1764" spans="1:7" x14ac:dyDescent="0.2">
      <c r="A1764" s="5">
        <v>1703</v>
      </c>
      <c r="B1764" s="1832">
        <f>'Tax Sched 23'!D8</f>
        <v>131825</v>
      </c>
      <c r="C1764" s="2" t="s">
        <v>569</v>
      </c>
      <c r="D1764" s="2" t="str">
        <f t="shared" si="26"/>
        <v>Error?</v>
      </c>
    </row>
    <row r="1765" spans="1:7" x14ac:dyDescent="0.2">
      <c r="A1765" s="5">
        <v>1704</v>
      </c>
      <c r="B1765" s="1832">
        <f>'Tax Sched 23'!D10</f>
        <v>113193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499265</v>
      </c>
      <c r="C1768" s="2" t="s">
        <v>569</v>
      </c>
      <c r="D1768" s="2" t="str">
        <f t="shared" si="26"/>
        <v>Error?</v>
      </c>
    </row>
    <row r="1769" spans="1:7" x14ac:dyDescent="0.2">
      <c r="A1769" s="5">
        <v>1708</v>
      </c>
      <c r="B1769" s="1832">
        <f>'Tax Sched 23'!D12</f>
        <v>113193</v>
      </c>
      <c r="C1769" s="2" t="s">
        <v>569</v>
      </c>
      <c r="D1769" s="2" t="str">
        <f t="shared" si="26"/>
        <v>Error?</v>
      </c>
    </row>
    <row r="1770" spans="1:7" x14ac:dyDescent="0.2">
      <c r="A1770" s="5">
        <v>1709</v>
      </c>
      <c r="B1770" s="1832">
        <f>'Tax Sched 23'!D14</f>
        <v>90552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9357211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5181019</v>
      </c>
      <c r="C1792" s="2" t="s">
        <v>569</v>
      </c>
      <c r="D1792" s="2" t="str">
        <f t="shared" si="27"/>
        <v>Error?</v>
      </c>
    </row>
    <row r="1793" spans="1:4" x14ac:dyDescent="0.2">
      <c r="A1793" s="5">
        <v>1732</v>
      </c>
      <c r="B1793" s="1832">
        <f>'Tax Sched 23'!F5</f>
        <v>1135578</v>
      </c>
      <c r="C1793" s="2" t="s">
        <v>569</v>
      </c>
      <c r="D1793" s="2" t="str">
        <f t="shared" si="27"/>
        <v>Error?</v>
      </c>
    </row>
    <row r="1794" spans="1:4" x14ac:dyDescent="0.2">
      <c r="A1794" s="5">
        <v>1733</v>
      </c>
      <c r="B1794" s="1832">
        <f>'Tax Sched 23'!F6</f>
        <v>1444276</v>
      </c>
      <c r="C1794" s="2" t="s">
        <v>569</v>
      </c>
      <c r="D1794" s="2" t="str">
        <f t="shared" si="27"/>
        <v>Error?</v>
      </c>
    </row>
    <row r="1795" spans="1:4" x14ac:dyDescent="0.2">
      <c r="A1795" s="5">
        <v>1734</v>
      </c>
      <c r="B1795" s="1832">
        <f>'Tax Sched 23'!F7</f>
        <v>454231</v>
      </c>
      <c r="C1795" s="2" t="s">
        <v>569</v>
      </c>
      <c r="D1795" s="2" t="str">
        <f t="shared" si="27"/>
        <v>Error?</v>
      </c>
    </row>
    <row r="1796" spans="1:4" x14ac:dyDescent="0.2">
      <c r="A1796" s="5">
        <v>1735</v>
      </c>
      <c r="B1796" s="1832">
        <f>'Tax Sched 23'!F8</f>
        <v>75016</v>
      </c>
      <c r="C1796" s="2" t="s">
        <v>569</v>
      </c>
      <c r="D1796" s="2" t="str">
        <f t="shared" si="27"/>
        <v>Error?</v>
      </c>
    </row>
    <row r="1797" spans="1:4" x14ac:dyDescent="0.2">
      <c r="A1797" s="5">
        <v>1736</v>
      </c>
      <c r="B1797" s="1832">
        <f>'Tax Sched 23'!F10</f>
        <v>113558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610010</v>
      </c>
      <c r="C1800" s="2" t="s">
        <v>569</v>
      </c>
      <c r="D1800" s="2" t="str">
        <f t="shared" si="27"/>
        <v>Error?</v>
      </c>
    </row>
    <row r="1801" spans="1:4" x14ac:dyDescent="0.2">
      <c r="A1801" s="5">
        <v>1740</v>
      </c>
      <c r="B1801" s="1832">
        <f>'Tax Sched 23'!F12</f>
        <v>113558</v>
      </c>
      <c r="C1801" s="2" t="s">
        <v>569</v>
      </c>
      <c r="D1801" s="2" t="str">
        <f t="shared" si="27"/>
        <v>Error?</v>
      </c>
    </row>
    <row r="1802" spans="1:4" x14ac:dyDescent="0.2">
      <c r="A1802" s="5">
        <v>1741</v>
      </c>
      <c r="B1802" s="1832">
        <f>'Tax Sched 23'!F14</f>
        <v>90846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9481660</v>
      </c>
      <c r="C1807" s="2" t="s">
        <v>569</v>
      </c>
      <c r="D1807" s="2" t="str">
        <f t="shared" si="27"/>
        <v>Error?</v>
      </c>
    </row>
    <row r="1808" spans="1:4" x14ac:dyDescent="0.2">
      <c r="A1808" s="5">
        <v>1747</v>
      </c>
      <c r="B1808" s="1832">
        <f>'Tax Sched 23'!E4</f>
        <v>5181019</v>
      </c>
      <c r="D1808" s="2" t="str">
        <f t="shared" si="27"/>
        <v>Error?</v>
      </c>
    </row>
    <row r="1809" spans="1:4" x14ac:dyDescent="0.2">
      <c r="A1809" s="5">
        <v>1748</v>
      </c>
      <c r="B1809" s="1832">
        <f>'Tax Sched 23'!E5</f>
        <v>1135578</v>
      </c>
      <c r="D1809" s="2" t="str">
        <f t="shared" si="27"/>
        <v>Error?</v>
      </c>
    </row>
    <row r="1810" spans="1:4" x14ac:dyDescent="0.2">
      <c r="A1810" s="5">
        <v>1749</v>
      </c>
      <c r="B1810" s="1832">
        <f>'Tax Sched 23'!E6</f>
        <v>1444276</v>
      </c>
      <c r="D1810" s="2" t="str">
        <f t="shared" si="27"/>
        <v>Error?</v>
      </c>
    </row>
    <row r="1811" spans="1:4" x14ac:dyDescent="0.2">
      <c r="A1811" s="5">
        <v>1750</v>
      </c>
      <c r="B1811" s="1832">
        <f>'Tax Sched 23'!E7</f>
        <v>454231</v>
      </c>
      <c r="D1811" s="2" t="str">
        <f t="shared" si="27"/>
        <v>Error?</v>
      </c>
    </row>
    <row r="1812" spans="1:4" x14ac:dyDescent="0.2">
      <c r="A1812" s="5">
        <v>1751</v>
      </c>
      <c r="B1812" s="1832">
        <f>'Tax Sched 23'!E8</f>
        <v>75016</v>
      </c>
      <c r="D1812" s="2" t="str">
        <f t="shared" si="27"/>
        <v>Error?</v>
      </c>
    </row>
    <row r="1813" spans="1:4" x14ac:dyDescent="0.2">
      <c r="A1813" s="5">
        <v>1752</v>
      </c>
      <c r="B1813" s="1832">
        <f>'Tax Sched 23'!E10</f>
        <v>113558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610010</v>
      </c>
      <c r="D1816" s="2" t="str">
        <f t="shared" si="27"/>
        <v>Error?</v>
      </c>
    </row>
    <row r="1817" spans="1:4" x14ac:dyDescent="0.2">
      <c r="A1817" s="5">
        <v>1756</v>
      </c>
      <c r="B1817" s="1832">
        <f>'Tax Sched 23'!E12</f>
        <v>113558</v>
      </c>
      <c r="D1817" s="2" t="str">
        <f t="shared" si="27"/>
        <v>Error?</v>
      </c>
    </row>
    <row r="1818" spans="1:4" x14ac:dyDescent="0.2">
      <c r="A1818" s="5">
        <v>1757</v>
      </c>
      <c r="B1818" s="1832">
        <f>'Tax Sched 23'!E14</f>
        <v>90846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9481660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15215000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90552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90552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90552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31563909</v>
      </c>
      <c r="D2009" s="2" t="str">
        <f t="shared" si="30"/>
        <v>Error?</v>
      </c>
    </row>
    <row r="2010" spans="1:4" x14ac:dyDescent="0.2">
      <c r="A2010" s="5">
        <v>1949</v>
      </c>
      <c r="B2010" s="1832">
        <f>'Cap Outlay Deprec 26'!C10</f>
        <v>2199766</v>
      </c>
      <c r="D2010" s="2" t="str">
        <f t="shared" si="30"/>
        <v>Error?</v>
      </c>
    </row>
    <row r="2011" spans="1:4" x14ac:dyDescent="0.2">
      <c r="A2011" s="5">
        <v>1950</v>
      </c>
      <c r="B2011" s="1832">
        <f>'Cap Outlay Deprec 26'!C12</f>
        <v>3785076</v>
      </c>
      <c r="D2011" s="2" t="str">
        <f t="shared" si="30"/>
        <v>Error?</v>
      </c>
    </row>
    <row r="2012" spans="1:4" x14ac:dyDescent="0.2">
      <c r="A2012" s="5">
        <v>1951</v>
      </c>
      <c r="B2012" s="1832">
        <f>'Cap Outlay Deprec 26'!C13</f>
        <v>1889927</v>
      </c>
      <c r="D2012" s="2" t="str">
        <f t="shared" si="30"/>
        <v>Error?</v>
      </c>
    </row>
    <row r="2013" spans="1:4" x14ac:dyDescent="0.2">
      <c r="A2013" s="5">
        <v>1952</v>
      </c>
      <c r="B2013" s="1832">
        <f>'Cap Outlay Deprec 26'!C16</f>
        <v>39830049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3817</v>
      </c>
      <c r="D2016" s="2" t="str">
        <f t="shared" si="30"/>
        <v>Error?</v>
      </c>
    </row>
    <row r="2017" spans="1:4" x14ac:dyDescent="0.2">
      <c r="A2017" s="5">
        <v>1956</v>
      </c>
      <c r="B2017" s="1832">
        <f>'Cap Outlay Deprec 26'!D12</f>
        <v>349399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353216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31563909</v>
      </c>
      <c r="C2027" s="2" t="s">
        <v>569</v>
      </c>
      <c r="D2027" s="2" t="str">
        <f t="shared" si="30"/>
        <v>Error?</v>
      </c>
    </row>
    <row r="2028" spans="1:4" x14ac:dyDescent="0.2">
      <c r="A2028" s="5">
        <v>1967</v>
      </c>
      <c r="B2028" s="1832">
        <f>'Cap Outlay Deprec 26'!F10</f>
        <v>2203583</v>
      </c>
      <c r="C2028" s="2" t="s">
        <v>569</v>
      </c>
      <c r="D2028" s="2" t="str">
        <f t="shared" si="30"/>
        <v>Error?</v>
      </c>
    </row>
    <row r="2029" spans="1:4" x14ac:dyDescent="0.2">
      <c r="A2029" s="5">
        <v>1968</v>
      </c>
      <c r="B2029" s="1832">
        <f>'Cap Outlay Deprec 26'!F12</f>
        <v>4134475</v>
      </c>
      <c r="C2029" s="2" t="s">
        <v>569</v>
      </c>
      <c r="D2029" s="2" t="str">
        <f t="shared" si="30"/>
        <v>Error?</v>
      </c>
    </row>
    <row r="2030" spans="1:4" x14ac:dyDescent="0.2">
      <c r="A2030" s="5">
        <v>1969</v>
      </c>
      <c r="B2030" s="1832">
        <f>'Cap Outlay Deprec 26'!F13</f>
        <v>1889927</v>
      </c>
      <c r="C2030" s="2" t="s">
        <v>569</v>
      </c>
      <c r="D2030" s="2" t="str">
        <f t="shared" si="30"/>
        <v>Error?</v>
      </c>
    </row>
    <row r="2031" spans="1:4" x14ac:dyDescent="0.2">
      <c r="A2031" s="5">
        <v>1970</v>
      </c>
      <c r="B2031" s="1832">
        <f>'Cap Outlay Deprec 26'!F16</f>
        <v>40183265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9632915</v>
      </c>
      <c r="D2033" s="2" t="str">
        <f t="shared" si="30"/>
        <v>Error?</v>
      </c>
    </row>
    <row r="2034" spans="1:4" x14ac:dyDescent="0.2">
      <c r="A2034" s="5">
        <v>1973</v>
      </c>
      <c r="B2034" s="1832">
        <f>'Cap Outlay Deprec 26'!H10</f>
        <v>900701</v>
      </c>
      <c r="D2034" s="2" t="str">
        <f t="shared" si="30"/>
        <v>Error?</v>
      </c>
    </row>
    <row r="2035" spans="1:4" x14ac:dyDescent="0.2">
      <c r="A2035" s="5">
        <v>1974</v>
      </c>
      <c r="B2035" s="1832">
        <f>'Cap Outlay Deprec 26'!H12</f>
        <v>3272796</v>
      </c>
      <c r="D2035" s="2" t="str">
        <f t="shared" si="30"/>
        <v>Error?</v>
      </c>
    </row>
    <row r="2036" spans="1:4" x14ac:dyDescent="0.2">
      <c r="A2036" s="5">
        <v>1975</v>
      </c>
      <c r="B2036" s="1832">
        <f>'Cap Outlay Deprec 26'!H13</f>
        <v>1808692</v>
      </c>
      <c r="D2036" s="2" t="str">
        <f t="shared" si="30"/>
        <v>Error?</v>
      </c>
    </row>
    <row r="2037" spans="1:4" x14ac:dyDescent="0.2">
      <c r="A2037" s="5">
        <v>1976</v>
      </c>
      <c r="B2037" s="1832">
        <f>'Cap Outlay Deprec 26'!H16</f>
        <v>15615104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613384</v>
      </c>
      <c r="D2039" s="2" t="str">
        <f t="shared" si="30"/>
        <v>Error?</v>
      </c>
    </row>
    <row r="2040" spans="1:4" x14ac:dyDescent="0.2">
      <c r="A2040" s="5">
        <v>1979</v>
      </c>
      <c r="B2040" s="1832">
        <f>'Cap Outlay Deprec 26'!I10</f>
        <v>107899</v>
      </c>
      <c r="D2040" s="2" t="str">
        <f t="shared" si="30"/>
        <v>Error?</v>
      </c>
    </row>
    <row r="2041" spans="1:4" x14ac:dyDescent="0.2">
      <c r="A2041" s="5">
        <v>1980</v>
      </c>
      <c r="B2041" s="1832">
        <f>'Cap Outlay Deprec 26'!I12</f>
        <v>140007</v>
      </c>
      <c r="D2041" s="2" t="str">
        <f t="shared" si="30"/>
        <v>Error?</v>
      </c>
    </row>
    <row r="2042" spans="1:4" x14ac:dyDescent="0.2">
      <c r="A2042" s="5">
        <v>1981</v>
      </c>
      <c r="B2042" s="1832">
        <f>'Cap Outlay Deprec 26'!I13</f>
        <v>28091</v>
      </c>
      <c r="D2042" s="2" t="str">
        <f t="shared" si="30"/>
        <v>Error?</v>
      </c>
    </row>
    <row r="2043" spans="1:4" x14ac:dyDescent="0.2">
      <c r="A2043" s="5">
        <v>1982</v>
      </c>
      <c r="B2043" s="1832">
        <f>'Cap Outlay Deprec 26'!I16</f>
        <v>889381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10246299</v>
      </c>
      <c r="C2051" s="2" t="s">
        <v>569</v>
      </c>
      <c r="D2051" s="2" t="str">
        <f t="shared" si="31"/>
        <v>Error?</v>
      </c>
    </row>
    <row r="2052" spans="1:4" x14ac:dyDescent="0.2">
      <c r="A2052" s="5">
        <v>1991</v>
      </c>
      <c r="B2052" s="1832">
        <f>'Cap Outlay Deprec 26'!K10</f>
        <v>1008600</v>
      </c>
      <c r="C2052" s="2" t="s">
        <v>569</v>
      </c>
      <c r="D2052" s="2" t="str">
        <f t="shared" si="31"/>
        <v>Error?</v>
      </c>
    </row>
    <row r="2053" spans="1:4" x14ac:dyDescent="0.2">
      <c r="A2053" s="5">
        <v>1992</v>
      </c>
      <c r="B2053" s="1832">
        <f>'Cap Outlay Deprec 26'!K12</f>
        <v>3412803</v>
      </c>
      <c r="C2053" s="2" t="s">
        <v>569</v>
      </c>
      <c r="D2053" s="2" t="str">
        <f t="shared" si="31"/>
        <v>Error?</v>
      </c>
    </row>
    <row r="2054" spans="1:4" x14ac:dyDescent="0.2">
      <c r="A2054" s="5">
        <v>1993</v>
      </c>
      <c r="B2054" s="1832">
        <f>'Cap Outlay Deprec 26'!K13</f>
        <v>1836783</v>
      </c>
      <c r="C2054" s="2" t="s">
        <v>569</v>
      </c>
      <c r="D2054" s="2" t="str">
        <f t="shared" si="31"/>
        <v>Error?</v>
      </c>
    </row>
    <row r="2055" spans="1:4" x14ac:dyDescent="0.2">
      <c r="A2055" s="5">
        <v>1994</v>
      </c>
      <c r="B2055" s="1832">
        <f>'Cap Outlay Deprec 26'!K16</f>
        <v>16504485</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21317610</v>
      </c>
      <c r="C2057" s="2" t="s">
        <v>569</v>
      </c>
      <c r="D2057" s="2" t="str">
        <f t="shared" si="31"/>
        <v>Error?</v>
      </c>
    </row>
    <row r="2058" spans="1:4" x14ac:dyDescent="0.2">
      <c r="A2058" s="5">
        <v>1997</v>
      </c>
      <c r="B2058" s="1832">
        <f>'Cap Outlay Deprec 26'!L10</f>
        <v>1194983</v>
      </c>
      <c r="C2058" s="2" t="s">
        <v>569</v>
      </c>
      <c r="D2058" s="2" t="str">
        <f t="shared" si="31"/>
        <v>Error?</v>
      </c>
    </row>
    <row r="2059" spans="1:4" x14ac:dyDescent="0.2">
      <c r="A2059" s="5">
        <v>1998</v>
      </c>
      <c r="B2059" s="1832">
        <f>'Cap Outlay Deprec 26'!L12</f>
        <v>721672</v>
      </c>
      <c r="C2059" s="2" t="s">
        <v>569</v>
      </c>
      <c r="D2059" s="2" t="str">
        <f t="shared" si="31"/>
        <v>Error?</v>
      </c>
    </row>
    <row r="2060" spans="1:4" x14ac:dyDescent="0.2">
      <c r="A2060" s="5">
        <v>1999</v>
      </c>
      <c r="B2060" s="1832">
        <f>'Cap Outlay Deprec 26'!L13</f>
        <v>53144</v>
      </c>
      <c r="C2060" s="2" t="s">
        <v>569</v>
      </c>
      <c r="D2060" s="2" t="str">
        <f t="shared" si="31"/>
        <v>Error?</v>
      </c>
    </row>
    <row r="2061" spans="1:4" x14ac:dyDescent="0.2">
      <c r="A2061" s="5">
        <v>2000</v>
      </c>
      <c r="B2061" s="1832">
        <f>'Cap Outlay Deprec 26'!L16</f>
        <v>23678780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537917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537917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6029066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1722763</v>
      </c>
      <c r="C2553" s="2" t="s">
        <v>569</v>
      </c>
      <c r="D2553" s="2" t="str">
        <f t="shared" si="38"/>
        <v>Error?</v>
      </c>
    </row>
    <row r="2554" spans="1:4" x14ac:dyDescent="0.2">
      <c r="A2554" s="5">
        <v>2493</v>
      </c>
      <c r="B2554" s="1832">
        <f>'Acct Summary 7-8'!C7</f>
        <v>447731</v>
      </c>
      <c r="C2554" s="2" t="s">
        <v>569</v>
      </c>
      <c r="D2554" s="2" t="str">
        <f t="shared" si="38"/>
        <v>Error?</v>
      </c>
    </row>
    <row r="2555" spans="1:4" x14ac:dyDescent="0.2">
      <c r="A2555" s="5">
        <v>2494</v>
      </c>
      <c r="B2555" s="1832">
        <f>'Acct Summary 7-8'!C8</f>
        <v>8199560</v>
      </c>
      <c r="C2555" s="2" t="s">
        <v>569</v>
      </c>
      <c r="D2555" s="2" t="str">
        <f t="shared" si="38"/>
        <v>Error?</v>
      </c>
    </row>
    <row r="2556" spans="1:4" x14ac:dyDescent="0.2">
      <c r="A2556" s="5">
        <v>2495</v>
      </c>
      <c r="B2556" s="1832">
        <f>'Acct Summary 7-8'!C12</f>
        <v>5698455</v>
      </c>
      <c r="C2556" s="2" t="s">
        <v>569</v>
      </c>
      <c r="D2556" s="2" t="str">
        <f t="shared" si="38"/>
        <v>Error?</v>
      </c>
    </row>
    <row r="2557" spans="1:4" x14ac:dyDescent="0.2">
      <c r="A2557" s="5">
        <v>2496</v>
      </c>
      <c r="B2557" s="1832">
        <f>'Acct Summary 7-8'!C13</f>
        <v>1570842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537917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7807214</v>
      </c>
      <c r="C2561" s="2" t="s">
        <v>569</v>
      </c>
      <c r="D2561" s="2" t="str">
        <f t="shared" si="39"/>
        <v>Error?</v>
      </c>
    </row>
    <row r="2562" spans="1:4" x14ac:dyDescent="0.2">
      <c r="A2562" s="5">
        <v>2501</v>
      </c>
      <c r="B2562" s="1832">
        <f>'Acct Summary 7-8'!C20</f>
        <v>392346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1164033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1314033</v>
      </c>
      <c r="C2568" s="2" t="s">
        <v>569</v>
      </c>
      <c r="D2568" s="2" t="str">
        <f t="shared" si="39"/>
        <v>Error?</v>
      </c>
    </row>
    <row r="2569" spans="1:4" x14ac:dyDescent="0.2">
      <c r="A2569" s="5">
        <v>2508</v>
      </c>
      <c r="B2569" s="1832">
        <f>'Acct Summary 7-8'!D13</f>
        <v>1485302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1485302</v>
      </c>
      <c r="C2573" s="2" t="s">
        <v>569</v>
      </c>
      <c r="D2573" s="2" t="str">
        <f t="shared" si="39"/>
        <v>Error?</v>
      </c>
    </row>
    <row r="2574" spans="1:4" x14ac:dyDescent="0.2">
      <c r="A2574" s="5">
        <v>2513</v>
      </c>
      <c r="B2574" s="1832">
        <f>'Acct Summary 7-8'!D20</f>
        <v>-171269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469545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416383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885928</v>
      </c>
      <c r="C2595" s="2" t="s">
        <v>569</v>
      </c>
      <c r="D2595" s="2" t="str">
        <f t="shared" si="39"/>
        <v>Error?</v>
      </c>
    </row>
    <row r="2596" spans="1:4" x14ac:dyDescent="0.2">
      <c r="A2596" s="5">
        <v>2535</v>
      </c>
      <c r="B2596" s="1832">
        <f>'Acct Summary 7-8'!F13</f>
        <v>742991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742991</v>
      </c>
      <c r="C2600" s="2" t="s">
        <v>569</v>
      </c>
      <c r="D2600" s="2" t="str">
        <f t="shared" si="39"/>
        <v>Error?</v>
      </c>
    </row>
    <row r="2601" spans="1:4" x14ac:dyDescent="0.2">
      <c r="A2601" s="5">
        <v>2540</v>
      </c>
      <c r="B2601" s="1832">
        <f>'Acct Summary 7-8'!F20</f>
        <v>142937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378316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378316</v>
      </c>
      <c r="C2606" s="2" t="s">
        <v>569</v>
      </c>
      <c r="D2606" s="2" t="str">
        <f t="shared" si="39"/>
        <v>Error?</v>
      </c>
    </row>
    <row r="2607" spans="1:4" x14ac:dyDescent="0.2">
      <c r="A2607" s="5">
        <v>2546</v>
      </c>
      <c r="B2607" s="1832">
        <f>'Acct Summary 7-8'!G12</f>
        <v>109618</v>
      </c>
      <c r="C2607" s="2" t="s">
        <v>569</v>
      </c>
      <c r="D2607" s="2" t="str">
        <f t="shared" si="39"/>
        <v>Error?</v>
      </c>
    </row>
    <row r="2608" spans="1:4" x14ac:dyDescent="0.2">
      <c r="A2608" s="5">
        <v>2547</v>
      </c>
      <c r="B2608" s="1832">
        <f>'Acct Summary 7-8'!G13</f>
        <v>224387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334005</v>
      </c>
      <c r="C2612" s="2" t="s">
        <v>569</v>
      </c>
      <c r="D2612" s="2" t="str">
        <f t="shared" si="39"/>
        <v>Error?</v>
      </c>
    </row>
    <row r="2613" spans="1:4" x14ac:dyDescent="0.2">
      <c r="A2613" s="5">
        <v>2552</v>
      </c>
      <c r="B2613" s="1832">
        <f>'Acct Summary 7-8'!G20</f>
        <v>44311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2475822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2475822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2920940</v>
      </c>
      <c r="C2634" s="2" t="s">
        <v>569</v>
      </c>
      <c r="D2634" s="2" t="str">
        <f t="shared" si="40"/>
        <v>Error?</v>
      </c>
    </row>
    <row r="2635" spans="1:4" x14ac:dyDescent="0.2">
      <c r="A2635" s="5">
        <v>2574</v>
      </c>
      <c r="B2635" s="1832">
        <f>'Acct Summary 7-8'!E17</f>
        <v>2920940</v>
      </c>
      <c r="C2635" s="2" t="s">
        <v>569</v>
      </c>
      <c r="D2635" s="2" t="str">
        <f t="shared" si="40"/>
        <v>Error?</v>
      </c>
    </row>
    <row r="2636" spans="1:4" x14ac:dyDescent="0.2">
      <c r="A2636" s="5">
        <v>2575</v>
      </c>
      <c r="B2636" s="1832">
        <f>'Acct Summary 7-8'!E20</f>
        <v>-445118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500359</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550359</v>
      </c>
      <c r="C2658" s="2" t="s">
        <v>569</v>
      </c>
      <c r="D2658" s="2" t="str">
        <f t="shared" si="40"/>
        <v>Error?</v>
      </c>
    </row>
    <row r="2659" spans="1:4" x14ac:dyDescent="0.2">
      <c r="A2659" s="5">
        <v>2598</v>
      </c>
      <c r="B2659" s="1832">
        <f>'Acct Summary 7-8'!H13</f>
        <v>357761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357761</v>
      </c>
      <c r="C2661" s="2" t="s">
        <v>569</v>
      </c>
      <c r="D2661" s="2" t="str">
        <f t="shared" si="40"/>
        <v>Error?</v>
      </c>
    </row>
    <row r="2662" spans="1:4" x14ac:dyDescent="0.2">
      <c r="A2662" s="5">
        <v>2601</v>
      </c>
      <c r="B2662" s="1832">
        <f>'Acct Summary 7-8'!H20</f>
        <v>192598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1518175</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2199509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47295</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200577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2199509</v>
      </c>
      <c r="D2912" s="2" t="str">
        <f t="shared" si="44"/>
        <v>Error?</v>
      </c>
    </row>
    <row r="2913" spans="1:4" x14ac:dyDescent="0.2">
      <c r="A2913" s="5">
        <v>2852</v>
      </c>
      <c r="B2913" s="1832">
        <f>'Assets-Liab 5-6'!I41</f>
        <v>2199509</v>
      </c>
      <c r="C2913" s="2" t="s">
        <v>569</v>
      </c>
      <c r="D2913" s="2" t="str">
        <f t="shared" si="44"/>
        <v>Error?</v>
      </c>
    </row>
    <row r="2914" spans="1:4" x14ac:dyDescent="0.2">
      <c r="A2914" s="5">
        <v>2853</v>
      </c>
      <c r="B2914" s="1832">
        <f>'Assets-Liab 5-6'!L33</f>
        <v>200577</v>
      </c>
      <c r="D2914" s="2" t="str">
        <f t="shared" si="44"/>
        <v>Error?</v>
      </c>
    </row>
    <row r="2915" spans="1:4" x14ac:dyDescent="0.2">
      <c r="A2915" s="10">
        <v>2854</v>
      </c>
      <c r="B2915" s="1832"/>
      <c r="D2915" s="2" t="str">
        <f t="shared" si="44"/>
        <v>OK</v>
      </c>
    </row>
    <row r="2916" spans="1:4" x14ac:dyDescent="0.2">
      <c r="A2916" s="5">
        <v>2855</v>
      </c>
      <c r="B2916" s="1832">
        <f>'Assets-Liab 5-6'!L34</f>
        <v>200577</v>
      </c>
      <c r="C2916" s="2" t="s">
        <v>569</v>
      </c>
      <c r="D2916" s="2" t="str">
        <f t="shared" si="44"/>
        <v>Error?</v>
      </c>
    </row>
    <row r="2917" spans="1:4" x14ac:dyDescent="0.2">
      <c r="A2917" s="5">
        <v>2856</v>
      </c>
      <c r="B2917" s="1832">
        <f>'Assets-Liab 5-6'!L41</f>
        <v>200577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517337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18000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2580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517337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18000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2580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88159</v>
      </c>
      <c r="D3055" s="2" t="str">
        <f t="shared" si="46"/>
        <v>Error?</v>
      </c>
    </row>
    <row r="3056" spans="1:4" x14ac:dyDescent="0.2">
      <c r="A3056" s="5">
        <v>2995</v>
      </c>
      <c r="B3056" s="1832">
        <f>'Expenditures 15-22'!D10</f>
        <v>19064</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7760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114983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9207</v>
      </c>
      <c r="D3064" s="2" t="str">
        <f t="shared" si="46"/>
        <v>Error?</v>
      </c>
    </row>
    <row r="3065" spans="1:4" x14ac:dyDescent="0.2">
      <c r="A3065" s="5">
        <v>3004</v>
      </c>
      <c r="B3065" s="1832">
        <f>'Expenditures 15-22'!K219</f>
        <v>9207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123276</v>
      </c>
      <c r="C3225" s="2" t="s">
        <v>569</v>
      </c>
      <c r="D3225" s="2" t="str">
        <f t="shared" si="49"/>
        <v>Error?</v>
      </c>
    </row>
    <row r="3226" spans="1:4" x14ac:dyDescent="0.2">
      <c r="A3226" s="5">
        <v>3165</v>
      </c>
      <c r="B3226" s="1832">
        <f>'Acct Summary 7-8'!I8</f>
        <v>123276</v>
      </c>
      <c r="C3226" s="2" t="s">
        <v>569</v>
      </c>
      <c r="D3226" s="2" t="str">
        <f t="shared" si="49"/>
        <v>Error?</v>
      </c>
    </row>
    <row r="3227" spans="1:4" x14ac:dyDescent="0.2">
      <c r="A3227" s="5">
        <v>3166</v>
      </c>
      <c r="B3227" s="1832">
        <f>'Acct Summary 7-8'!I20</f>
        <v>123276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392346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-171269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142937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44311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275000</v>
      </c>
      <c r="D3273" s="2" t="str">
        <f t="shared" si="50"/>
        <v>Error?</v>
      </c>
    </row>
    <row r="3274" spans="1:4" x14ac:dyDescent="0.2">
      <c r="A3274" s="5">
        <v>3213</v>
      </c>
      <c r="B3274" s="1832">
        <f>'Acct Summary 7-8'!E44</f>
        <v>275000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275000</v>
      </c>
      <c r="C3277" s="2" t="s">
        <v>569</v>
      </c>
      <c r="D3277" s="2" t="str">
        <f t="shared" si="50"/>
        <v>Error?</v>
      </c>
    </row>
    <row r="3278" spans="1:4" x14ac:dyDescent="0.2">
      <c r="A3278" s="5">
        <v>3217</v>
      </c>
      <c r="B3278" s="1832">
        <f>'Acct Summary 7-8'!E78</f>
        <v>-170118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275000</v>
      </c>
      <c r="D3297" s="2" t="str">
        <f t="shared" si="50"/>
        <v>Error?</v>
      </c>
    </row>
    <row r="3298" spans="1:4" x14ac:dyDescent="0.2">
      <c r="A3298" s="5">
        <v>3237</v>
      </c>
      <c r="B3298" s="1832">
        <f>'Acct Summary 7-8'!H76</f>
        <v>275000</v>
      </c>
      <c r="C3298" s="2" t="s">
        <v>569</v>
      </c>
      <c r="D3298" s="2" t="str">
        <f t="shared" si="50"/>
        <v>Error?</v>
      </c>
    </row>
    <row r="3299" spans="1:4" x14ac:dyDescent="0.2">
      <c r="A3299" s="5">
        <v>3238</v>
      </c>
      <c r="B3299" s="1832">
        <f>'Acct Summary 7-8'!H77</f>
        <v>-275000</v>
      </c>
      <c r="C3299" s="2" t="s">
        <v>569</v>
      </c>
      <c r="D3299" s="2" t="str">
        <f t="shared" si="50"/>
        <v>Error?</v>
      </c>
    </row>
    <row r="3300" spans="1:4" x14ac:dyDescent="0.2">
      <c r="A3300" s="5">
        <v>3239</v>
      </c>
      <c r="B3300" s="1832">
        <f>'Acct Summary 7-8'!H78</f>
        <v>-82402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123276</v>
      </c>
      <c r="C3320" s="2" t="s">
        <v>569</v>
      </c>
      <c r="D3320" s="2" t="str">
        <f t="shared" si="50"/>
        <v>Error?</v>
      </c>
    </row>
    <row r="3321" spans="1:4" x14ac:dyDescent="0.2">
      <c r="A3321" s="5">
        <v>3260</v>
      </c>
      <c r="B3321" s="1832">
        <f>'Acct Summary 7-8'!I79</f>
        <v>2076233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2199509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53839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6078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59917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89799</v>
      </c>
      <c r="D3387" s="2" t="str">
        <f t="shared" si="51"/>
        <v>Error?</v>
      </c>
    </row>
    <row r="3388" spans="1:4" x14ac:dyDescent="0.2">
      <c r="A3388" s="5">
        <v>3327</v>
      </c>
      <c r="B3388" s="1832">
        <f>'Expenditures 15-22'!D217</f>
        <v>1546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89799</v>
      </c>
      <c r="C3390" s="2" t="s">
        <v>569</v>
      </c>
      <c r="D3390" s="2" t="str">
        <f t="shared" si="51"/>
        <v>Error?</v>
      </c>
    </row>
    <row r="3391" spans="1:4" x14ac:dyDescent="0.2">
      <c r="A3391" s="5">
        <v>3330</v>
      </c>
      <c r="B3391" s="1832">
        <f>'Expenditures 15-22'!K217</f>
        <v>1546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13880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57688</v>
      </c>
      <c r="D3417" s="2" t="str">
        <f t="shared" si="52"/>
        <v>Error?</v>
      </c>
    </row>
    <row r="3418" spans="1:4" x14ac:dyDescent="0.2">
      <c r="A3418" s="10">
        <v>3357</v>
      </c>
      <c r="B3418" s="1832"/>
      <c r="D3418" s="2" t="str">
        <f t="shared" si="52"/>
        <v>OK</v>
      </c>
    </row>
    <row r="3419" spans="1:4" x14ac:dyDescent="0.2">
      <c r="A3419" s="5">
        <v>3358</v>
      </c>
      <c r="B3419" s="1832">
        <f>'Assets-Liab 5-6'!F4</f>
        <v>338969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123033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176718</v>
      </c>
      <c r="D3425" s="2" t="str">
        <f t="shared" si="52"/>
        <v>Error?</v>
      </c>
    </row>
    <row r="3426" spans="1:4" x14ac:dyDescent="0.2">
      <c r="A3426" s="10">
        <v>3365</v>
      </c>
      <c r="B3426" s="1832"/>
      <c r="D3426" s="2" t="str">
        <f t="shared" si="52"/>
        <v>OK</v>
      </c>
    </row>
    <row r="3427" spans="1:4" x14ac:dyDescent="0.2">
      <c r="A3427" s="5">
        <v>3366</v>
      </c>
      <c r="B3427" s="1832">
        <f>'Assets-Liab 5-6'!I4</f>
        <v>680687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153282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239650</v>
      </c>
      <c r="C3446" s="2" t="s">
        <v>569</v>
      </c>
      <c r="D3446" s="2" t="str">
        <f t="shared" si="52"/>
        <v>Error?</v>
      </c>
    </row>
    <row r="3447" spans="1:4" x14ac:dyDescent="0.2">
      <c r="A3447" s="5">
        <v>3386</v>
      </c>
      <c r="B3447" s="1832">
        <f>'Tax Sched 23'!D16</f>
        <v>239650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150010</v>
      </c>
      <c r="C3449" s="2" t="s">
        <v>569</v>
      </c>
      <c r="D3449" s="2" t="str">
        <f t="shared" si="52"/>
        <v>Error?</v>
      </c>
    </row>
    <row r="3450" spans="1:4" x14ac:dyDescent="0.2">
      <c r="A3450" s="5">
        <v>3389</v>
      </c>
      <c r="B3450" s="1832">
        <f>'Tax Sched 23'!E16</f>
        <v>150010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270222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117853</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388180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388180</v>
      </c>
      <c r="D3567" s="2" t="str">
        <f t="shared" si="54"/>
        <v>Error?</v>
      </c>
    </row>
    <row r="3568" spans="1:4" x14ac:dyDescent="0.2">
      <c r="A3568" s="5">
        <v>3507</v>
      </c>
      <c r="B3568" s="1832">
        <f>'Assets-Liab 5-6'!K41</f>
        <v>388180</v>
      </c>
      <c r="C3568" s="2" t="s">
        <v>569</v>
      </c>
      <c r="D3568" s="2" t="str">
        <f t="shared" si="54"/>
        <v>Error?</v>
      </c>
    </row>
    <row r="3569" spans="1:4" x14ac:dyDescent="0.2">
      <c r="A3569" s="5">
        <v>3508</v>
      </c>
      <c r="B3569" s="1832">
        <f>'Acct Summary 7-8'!K4</f>
        <v>114650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114650</v>
      </c>
      <c r="C3571" s="2" t="s">
        <v>569</v>
      </c>
      <c r="D3571" s="2" t="str">
        <f t="shared" si="54"/>
        <v>Error?</v>
      </c>
    </row>
    <row r="3572" spans="1:4" x14ac:dyDescent="0.2">
      <c r="A3572" s="5">
        <v>3511</v>
      </c>
      <c r="B3572" s="1832">
        <f>'Acct Summary 7-8'!K13</f>
        <v>3111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3111</v>
      </c>
      <c r="C3575" s="2" t="s">
        <v>569</v>
      </c>
      <c r="D3575" s="2" t="str">
        <f t="shared" si="54"/>
        <v>Error?</v>
      </c>
    </row>
    <row r="3576" spans="1:4" x14ac:dyDescent="0.2">
      <c r="A3576" s="5">
        <v>3515</v>
      </c>
      <c r="B3576" s="1832">
        <f>'Acct Summary 7-8'!K20</f>
        <v>111539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111539</v>
      </c>
      <c r="C3588" s="2" t="s">
        <v>569</v>
      </c>
      <c r="D3588" s="2" t="str">
        <f t="shared" si="55"/>
        <v>Error?</v>
      </c>
    </row>
    <row r="3589" spans="1:4" x14ac:dyDescent="0.2">
      <c r="A3589" s="5">
        <v>3528</v>
      </c>
      <c r="B3589" s="1832">
        <f>'Acct Summary 7-8'!K79</f>
        <v>276641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388180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3111</v>
      </c>
      <c r="D3639" s="2" t="str">
        <f t="shared" si="55"/>
        <v>Error?</v>
      </c>
    </row>
    <row r="3640" spans="1:4" x14ac:dyDescent="0.2">
      <c r="A3640" s="5">
        <v>3579</v>
      </c>
      <c r="B3640" s="1832">
        <f>'Expenditures 15-22'!F350</f>
        <v>3111</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3111</v>
      </c>
      <c r="C3642" s="2" t="s">
        <v>569</v>
      </c>
      <c r="D3642" s="2" t="str">
        <f t="shared" si="55"/>
        <v>Error?</v>
      </c>
    </row>
    <row r="3643" spans="1:4" x14ac:dyDescent="0.2">
      <c r="A3643" s="5">
        <v>3582</v>
      </c>
      <c r="B3643" s="1832">
        <f>'Expenditures 15-22'!F367</f>
        <v>3111</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3111</v>
      </c>
      <c r="C3669" s="2" t="s">
        <v>569</v>
      </c>
      <c r="D3669" s="2" t="str">
        <f t="shared" si="56"/>
        <v>Error?</v>
      </c>
    </row>
    <row r="3670" spans="1:4" x14ac:dyDescent="0.2">
      <c r="A3670" s="5">
        <v>3609</v>
      </c>
      <c r="B3670" s="1832">
        <f>'Expenditures 15-22'!K350</f>
        <v>3111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3111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3111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111539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113193</v>
      </c>
      <c r="C3725" s="2" t="s">
        <v>569</v>
      </c>
      <c r="D3725" s="2" t="str">
        <f t="shared" si="57"/>
        <v>Error?</v>
      </c>
    </row>
    <row r="3726" spans="1:4" x14ac:dyDescent="0.2">
      <c r="A3726" s="5">
        <v>3665</v>
      </c>
      <c r="B3726" s="1832">
        <f>'Tax Sched 23'!D13</f>
        <v>113193</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113558</v>
      </c>
      <c r="C3728" s="2" t="s">
        <v>569</v>
      </c>
      <c r="D3728" s="2" t="str">
        <f t="shared" si="57"/>
        <v>Error?</v>
      </c>
    </row>
    <row r="3729" spans="1:4" x14ac:dyDescent="0.2">
      <c r="A3729" s="5">
        <v>3668</v>
      </c>
      <c r="B3729" s="1832">
        <f>'Tax Sched 23'!E13</f>
        <v>113558</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3843996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12043556</v>
      </c>
      <c r="C4122" s="2" t="s">
        <v>569</v>
      </c>
      <c r="D4122" s="2" t="str">
        <f t="shared" si="63"/>
        <v>Error?</v>
      </c>
    </row>
    <row r="4123" spans="1:4" x14ac:dyDescent="0.2">
      <c r="A4123" s="5">
        <v>4062</v>
      </c>
      <c r="B4123" s="1832">
        <f>'Acct Summary 7-8'!D10</f>
        <v>1314033</v>
      </c>
      <c r="C4123" s="2" t="s">
        <v>569</v>
      </c>
      <c r="D4123" s="2" t="str">
        <f t="shared" si="63"/>
        <v>Error?</v>
      </c>
    </row>
    <row r="4124" spans="1:4" x14ac:dyDescent="0.2">
      <c r="A4124" s="5">
        <v>4063</v>
      </c>
      <c r="B4124" s="1832">
        <f>'Acct Summary 7-8'!E10</f>
        <v>2475822</v>
      </c>
      <c r="C4124" s="2" t="s">
        <v>569</v>
      </c>
      <c r="D4124" s="2" t="str">
        <f t="shared" si="63"/>
        <v>Error?</v>
      </c>
    </row>
    <row r="4125" spans="1:4" x14ac:dyDescent="0.2">
      <c r="A4125" s="5">
        <v>4064</v>
      </c>
      <c r="B4125" s="1832">
        <f>'Acct Summary 7-8'!F10</f>
        <v>885928</v>
      </c>
      <c r="C4125" s="2" t="s">
        <v>569</v>
      </c>
      <c r="D4125" s="2" t="str">
        <f t="shared" si="63"/>
        <v>Error?</v>
      </c>
    </row>
    <row r="4126" spans="1:4" x14ac:dyDescent="0.2">
      <c r="A4126" s="5">
        <v>4065</v>
      </c>
      <c r="B4126" s="1832">
        <f>'Acct Summary 7-8'!G10</f>
        <v>378316</v>
      </c>
      <c r="C4126" s="2" t="s">
        <v>569</v>
      </c>
      <c r="D4126" s="2" t="str">
        <f t="shared" si="63"/>
        <v>Error?</v>
      </c>
    </row>
    <row r="4127" spans="1:4" x14ac:dyDescent="0.2">
      <c r="A4127" s="5">
        <v>4066</v>
      </c>
      <c r="B4127" s="1832">
        <f>'Acct Summary 7-8'!H10</f>
        <v>550359</v>
      </c>
      <c r="C4127" s="2" t="s">
        <v>569</v>
      </c>
      <c r="D4127" s="2" t="str">
        <f t="shared" si="63"/>
        <v>Error?</v>
      </c>
    </row>
    <row r="4128" spans="1:4" x14ac:dyDescent="0.2">
      <c r="A4128" s="5">
        <v>4067</v>
      </c>
      <c r="B4128" s="1832">
        <f>'Acct Summary 7-8'!I10</f>
        <v>123276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114650</v>
      </c>
      <c r="C4130" s="2" t="s">
        <v>569</v>
      </c>
      <c r="D4130" s="2" t="str">
        <f t="shared" si="63"/>
        <v>Error?</v>
      </c>
    </row>
    <row r="4131" spans="1:4" x14ac:dyDescent="0.2">
      <c r="A4131" s="5">
        <v>4070</v>
      </c>
      <c r="B4131" s="1832">
        <f>'Acct Summary 7-8'!C18</f>
        <v>3843996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11651210</v>
      </c>
      <c r="C4136" s="2" t="s">
        <v>569</v>
      </c>
      <c r="D4136" s="2" t="str">
        <f t="shared" si="63"/>
        <v>Error?</v>
      </c>
    </row>
    <row r="4137" spans="1:4" x14ac:dyDescent="0.2">
      <c r="A4137" s="5">
        <v>4076</v>
      </c>
      <c r="B4137" s="1832">
        <f>'Acct Summary 7-8'!D19</f>
        <v>1485302</v>
      </c>
      <c r="C4137" s="2" t="s">
        <v>569</v>
      </c>
      <c r="D4137" s="2" t="str">
        <f t="shared" si="63"/>
        <v>Error?</v>
      </c>
    </row>
    <row r="4138" spans="1:4" x14ac:dyDescent="0.2">
      <c r="A4138" s="5">
        <v>4077</v>
      </c>
      <c r="B4138" s="1832">
        <f>'Acct Summary 7-8'!E19</f>
        <v>2920940</v>
      </c>
      <c r="C4138" s="2" t="s">
        <v>569</v>
      </c>
      <c r="D4138" s="2" t="str">
        <f t="shared" si="63"/>
        <v>Error?</v>
      </c>
    </row>
    <row r="4139" spans="1:4" x14ac:dyDescent="0.2">
      <c r="A4139" s="5">
        <v>4078</v>
      </c>
      <c r="B4139" s="1832">
        <f>'Acct Summary 7-8'!F19</f>
        <v>742991</v>
      </c>
      <c r="C4139" s="2" t="s">
        <v>569</v>
      </c>
      <c r="D4139" s="2" t="str">
        <f t="shared" si="63"/>
        <v>Error?</v>
      </c>
    </row>
    <row r="4140" spans="1:4" x14ac:dyDescent="0.2">
      <c r="A4140" s="5">
        <v>4079</v>
      </c>
      <c r="B4140" s="1832">
        <f>'Acct Summary 7-8'!G19</f>
        <v>334005</v>
      </c>
      <c r="C4140" s="2" t="s">
        <v>569</v>
      </c>
      <c r="D4140" s="2" t="str">
        <f t="shared" si="63"/>
        <v>Error?</v>
      </c>
    </row>
    <row r="4141" spans="1:4" x14ac:dyDescent="0.2">
      <c r="A4141" s="5">
        <v>4080</v>
      </c>
      <c r="B4141" s="1832">
        <f>'Acct Summary 7-8'!H19</f>
        <v>357761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3111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12827000</v>
      </c>
      <c r="C4171" s="2" t="s">
        <v>569</v>
      </c>
      <c r="D4171" s="2" t="str">
        <f t="shared" si="64"/>
        <v>Error?</v>
      </c>
    </row>
    <row r="4172" spans="1:4" x14ac:dyDescent="0.2">
      <c r="A4172" s="5">
        <v>4111</v>
      </c>
      <c r="B4172" s="1832">
        <f>'Short-Term Long-Term Debt 24'!J49</f>
        <v>12805302</v>
      </c>
      <c r="C4172" s="2" t="s">
        <v>569</v>
      </c>
      <c r="D4172" s="2" t="str">
        <f t="shared" si="64"/>
        <v>Error?</v>
      </c>
    </row>
    <row r="4173" spans="1:4" x14ac:dyDescent="0.2">
      <c r="A4173" s="5">
        <v>4112</v>
      </c>
      <c r="B4173" s="1832">
        <f>'Short-Term Long-Term Debt 24'!H49</f>
        <v>2388000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3000</v>
      </c>
      <c r="C4268" s="2" t="s">
        <v>569</v>
      </c>
      <c r="D4268" s="2" t="str">
        <f t="shared" si="65"/>
        <v>Error?</v>
      </c>
    </row>
    <row r="4269" spans="1:5" x14ac:dyDescent="0.2">
      <c r="A4269" s="12">
        <v>4208</v>
      </c>
      <c r="B4269" s="1832">
        <f>'FP Info 3'!J16</f>
        <v>4039316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21733</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5054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10862</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26584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227116021</v>
      </c>
      <c r="D4995" s="2" t="str">
        <f t="shared" si="77"/>
        <v>Error?</v>
      </c>
    </row>
    <row r="4996" spans="1:4" x14ac:dyDescent="0.2">
      <c r="A4996" s="12">
        <v>4935</v>
      </c>
      <c r="B4996" s="1832">
        <f>'FP Info 3'!H31</f>
        <v>31342010.898000002</v>
      </c>
      <c r="D4996" s="2" t="str">
        <f t="shared" si="77"/>
        <v>Error?</v>
      </c>
    </row>
    <row r="4997" spans="1:4" x14ac:dyDescent="0.2">
      <c r="A4997" s="12">
        <v>4936</v>
      </c>
      <c r="B4997" s="1832">
        <f>'FP Info 3'!H37</f>
        <v>12827000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113193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5206841</v>
      </c>
      <c r="D5061" s="2" t="str">
        <f t="shared" si="78"/>
        <v>Error?</v>
      </c>
    </row>
    <row r="5062" spans="1:4" x14ac:dyDescent="0.2">
      <c r="A5062" s="10">
        <v>5001</v>
      </c>
      <c r="B5062" s="1832"/>
      <c r="D5062" s="2" t="str">
        <f t="shared" si="78"/>
        <v>OK</v>
      </c>
    </row>
    <row r="5063" spans="1:4" x14ac:dyDescent="0.2">
      <c r="A5063" s="5">
        <v>5002</v>
      </c>
      <c r="B5063" s="1832">
        <f>'Revenues 9-14'!C7</f>
        <v>90552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5410586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102936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102936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8278</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8278</v>
      </c>
      <c r="C5087" s="2" t="s">
        <v>569</v>
      </c>
      <c r="D5087" s="2" t="str">
        <f t="shared" si="78"/>
        <v>Error?</v>
      </c>
    </row>
    <row r="5088" spans="1:4" x14ac:dyDescent="0.2">
      <c r="A5088" s="5">
        <v>5027</v>
      </c>
      <c r="B5088" s="1832">
        <f>'Revenues 9-14'!C65</f>
        <v>39851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39851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40305</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1369</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189750</v>
      </c>
      <c r="C5096" s="2" t="s">
        <v>569</v>
      </c>
      <c r="D5096" s="2" t="str">
        <f t="shared" si="78"/>
        <v>Error?</v>
      </c>
    </row>
    <row r="5097" spans="1:4" x14ac:dyDescent="0.2">
      <c r="A5097" s="5">
        <v>5036</v>
      </c>
      <c r="B5097" s="1832">
        <f>'Revenues 9-14'!C77</f>
        <v>28288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50845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79133</v>
      </c>
      <c r="C5102" s="2" t="s">
        <v>569</v>
      </c>
      <c r="D5102" s="2" t="str">
        <f t="shared" si="78"/>
        <v>Error?</v>
      </c>
    </row>
    <row r="5103" spans="1:4" x14ac:dyDescent="0.2">
      <c r="A5103" s="5">
        <v>5042</v>
      </c>
      <c r="B5103" s="1832">
        <f>'Revenues 9-14'!C84</f>
        <v>93390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93390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94702</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105142</v>
      </c>
      <c r="C5120" s="2" t="s">
        <v>569</v>
      </c>
      <c r="D5120" s="2" t="str">
        <f t="shared" si="79"/>
        <v>Error?</v>
      </c>
    </row>
    <row r="5121" spans="1:4" x14ac:dyDescent="0.2">
      <c r="A5121" s="5">
        <v>5060</v>
      </c>
      <c r="B5121" s="1832">
        <f>'Revenues 9-14'!C109</f>
        <v>6029066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1453531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1453531</v>
      </c>
      <c r="C5132" s="2" t="s">
        <v>569</v>
      </c>
      <c r="D5132" s="2" t="str">
        <f t="shared" si="79"/>
        <v>Error?</v>
      </c>
    </row>
    <row r="5133" spans="1:4" x14ac:dyDescent="0.2">
      <c r="A5133" s="5">
        <v>5072</v>
      </c>
      <c r="B5133" s="1832">
        <f>'Revenues 9-14'!C125</f>
        <v>14741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14741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4510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590</v>
      </c>
      <c r="D5167" s="2" t="str">
        <f t="shared" si="79"/>
        <v>Error?</v>
      </c>
    </row>
    <row r="5168" spans="1:4" x14ac:dyDescent="0.2">
      <c r="A5168" s="5">
        <v>5107</v>
      </c>
      <c r="B5168" s="1832">
        <f>'Revenues 9-14'!C148</f>
        <v>10710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238681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269232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1722763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56411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11498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67909</v>
      </c>
      <c r="C5246" s="2" t="s">
        <v>569</v>
      </c>
      <c r="D5246" s="2" t="str">
        <f t="shared" si="80"/>
        <v>Error?</v>
      </c>
    </row>
    <row r="5247" spans="1:4" x14ac:dyDescent="0.2">
      <c r="A5247" s="5">
        <v>5186</v>
      </c>
      <c r="B5247" s="1832">
        <f>'Revenues 9-14'!C200</f>
        <v>120437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10862</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142170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2288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192864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195152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447731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447731</v>
      </c>
      <c r="C5326" s="2" t="s">
        <v>569</v>
      </c>
      <c r="D5326" s="2" t="str">
        <f t="shared" si="82"/>
        <v>Error?</v>
      </c>
    </row>
    <row r="5327" spans="1:5" x14ac:dyDescent="0.2">
      <c r="A5327" s="5">
        <v>5266</v>
      </c>
      <c r="B5327" s="1832">
        <f>'Revenues 9-14'!C268</f>
        <v>8199560</v>
      </c>
      <c r="C5327" s="2" t="s">
        <v>569</v>
      </c>
      <c r="D5327" s="2" t="str">
        <f t="shared" si="82"/>
        <v>Error?</v>
      </c>
    </row>
    <row r="5328" spans="1:5" x14ac:dyDescent="0.2">
      <c r="A5328" s="5">
        <v>5267</v>
      </c>
      <c r="B5328" s="1832">
        <f>'Revenues 9-14'!D5</f>
        <v>1131924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1131924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4969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4969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2140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2140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25000</v>
      </c>
      <c r="D5354" s="2" t="str">
        <f t="shared" si="82"/>
        <v>Error?</v>
      </c>
    </row>
    <row r="5355" spans="1:4" x14ac:dyDescent="0.2">
      <c r="A5355" s="5">
        <v>5294</v>
      </c>
      <c r="B5355" s="1832">
        <f>'Revenues 9-14'!D108</f>
        <v>25000</v>
      </c>
      <c r="C5355" s="2" t="s">
        <v>569</v>
      </c>
      <c r="D5355" s="2" t="str">
        <f t="shared" si="82"/>
        <v>Error?</v>
      </c>
    </row>
    <row r="5356" spans="1:4" x14ac:dyDescent="0.2">
      <c r="A5356" s="5">
        <v>5295</v>
      </c>
      <c r="B5356" s="1832">
        <f>'Revenues 9-14'!D109</f>
        <v>1164033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1314033</v>
      </c>
      <c r="C5508" s="2" t="s">
        <v>569</v>
      </c>
      <c r="D5508" s="2" t="str">
        <f t="shared" si="85"/>
        <v>Error?</v>
      </c>
    </row>
    <row r="5509" spans="1:4" x14ac:dyDescent="0.2">
      <c r="A5509" s="5">
        <v>5448</v>
      </c>
      <c r="B5509" s="1832">
        <f>'Revenues 9-14'!E5</f>
        <v>1264806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1264806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6350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6350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970992</v>
      </c>
      <c r="D5525" s="2" t="str">
        <f t="shared" si="85"/>
        <v>Error?</v>
      </c>
    </row>
    <row r="5526" spans="1:4" x14ac:dyDescent="0.2">
      <c r="A5526" s="5">
        <v>5465</v>
      </c>
      <c r="B5526" s="1832">
        <f>'Revenues 9-14'!E108</f>
        <v>1204666</v>
      </c>
      <c r="C5526" s="2" t="s">
        <v>569</v>
      </c>
      <c r="D5526" s="2" t="str">
        <f t="shared" si="85"/>
        <v>Error?</v>
      </c>
    </row>
    <row r="5527" spans="1:4" x14ac:dyDescent="0.2">
      <c r="A5527" s="5">
        <v>5466</v>
      </c>
      <c r="B5527" s="1832">
        <f>'Revenues 9-14'!E109</f>
        <v>2475822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2475822</v>
      </c>
      <c r="C5552" s="2" t="s">
        <v>569</v>
      </c>
      <c r="D5552" s="2" t="str">
        <f t="shared" si="85"/>
        <v>Error?</v>
      </c>
    </row>
    <row r="5553" spans="1:4" x14ac:dyDescent="0.2">
      <c r="A5553" s="5">
        <v>5492</v>
      </c>
      <c r="B5553" s="1832">
        <f>'Revenues 9-14'!F5</f>
        <v>452769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452769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4792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4792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11984</v>
      </c>
      <c r="D5586" s="2" t="str">
        <f t="shared" si="86"/>
        <v>Error?</v>
      </c>
    </row>
    <row r="5587" spans="1:4" x14ac:dyDescent="0.2">
      <c r="A5587" s="5">
        <v>5526</v>
      </c>
      <c r="B5587" s="1832">
        <f>'Revenues 9-14'!F108</f>
        <v>11984</v>
      </c>
      <c r="C5587" s="2" t="s">
        <v>569</v>
      </c>
      <c r="D5587" s="2" t="str">
        <f t="shared" si="86"/>
        <v>Error?</v>
      </c>
    </row>
    <row r="5588" spans="1:4" x14ac:dyDescent="0.2">
      <c r="A5588" s="5">
        <v>5527</v>
      </c>
      <c r="B5588" s="1832">
        <f>'Revenues 9-14'!F109</f>
        <v>469545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23978</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23978</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295070</v>
      </c>
      <c r="D5615" s="2" t="str">
        <f t="shared" si="86"/>
        <v>Error?</v>
      </c>
    </row>
    <row r="5616" spans="1:4" x14ac:dyDescent="0.2">
      <c r="A5616" s="10">
        <v>5555</v>
      </c>
      <c r="B5616" s="1832"/>
      <c r="D5616" s="2" t="str">
        <f t="shared" si="86"/>
        <v>OK</v>
      </c>
    </row>
    <row r="5617" spans="1:5" x14ac:dyDescent="0.2">
      <c r="A5617" s="5">
        <v>5556</v>
      </c>
      <c r="B5617" s="1832">
        <f>'Revenues 9-14'!F153</f>
        <v>97335</v>
      </c>
      <c r="D5617" s="2" t="str">
        <f t="shared" si="86"/>
        <v>Error?</v>
      </c>
    </row>
    <row r="5618" spans="1:5" x14ac:dyDescent="0.2">
      <c r="A5618" s="5">
        <v>5557</v>
      </c>
      <c r="B5618" s="1832">
        <f>'Revenues 9-14'!F155</f>
        <v>392405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392405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416383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885928</v>
      </c>
      <c r="C5720" s="2" t="s">
        <v>569</v>
      </c>
      <c r="D5720" s="2" t="str">
        <f t="shared" si="88"/>
        <v>Error?</v>
      </c>
    </row>
    <row r="5721" spans="1:4" x14ac:dyDescent="0.2">
      <c r="A5721" s="5">
        <v>5660</v>
      </c>
      <c r="B5721" s="1832">
        <f>'Revenues 9-14'!G5</f>
        <v>131825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239650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371475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1500</v>
      </c>
      <c r="C5730" s="2" t="s">
        <v>569</v>
      </c>
      <c r="D5730" s="2" t="str">
        <f t="shared" si="88"/>
        <v>Error?</v>
      </c>
    </row>
    <row r="5731" spans="1:4" x14ac:dyDescent="0.2">
      <c r="A5731" s="5">
        <v>5670</v>
      </c>
      <c r="B5731" s="1832">
        <f>'Revenues 9-14'!G65</f>
        <v>5341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5341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378316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1496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1496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498863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550359</v>
      </c>
      <c r="C5915" s="2" t="s">
        <v>569</v>
      </c>
      <c r="D5915" s="2" t="str">
        <f t="shared" si="91"/>
        <v>Error?</v>
      </c>
    </row>
    <row r="5916" spans="1:4" x14ac:dyDescent="0.2">
      <c r="A5916" s="5">
        <v>5855</v>
      </c>
      <c r="B5916" s="1832">
        <f>'Revenues 9-14'!I5</f>
        <v>113193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113193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10083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10083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123276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113193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113193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1457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1457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114650</v>
      </c>
      <c r="C6023" s="2" t="s">
        <v>569</v>
      </c>
      <c r="D6023" s="2" t="str">
        <f t="shared" si="93"/>
        <v>Error?</v>
      </c>
    </row>
    <row r="6024" spans="1:5" x14ac:dyDescent="0.2">
      <c r="A6024" s="5">
        <v>5963</v>
      </c>
      <c r="B6024" s="1832">
        <f>'Revenues 9-14'!G109</f>
        <v>378316</v>
      </c>
      <c r="C6024" s="2" t="s">
        <v>569</v>
      </c>
      <c r="D6024" s="2" t="str">
        <f t="shared" si="93"/>
        <v>Error?</v>
      </c>
    </row>
    <row r="6025" spans="1:5" x14ac:dyDescent="0.2">
      <c r="A6025" s="5">
        <v>5964</v>
      </c>
      <c r="B6025" s="1832">
        <f>'Revenues 9-14'!H109</f>
        <v>500359</v>
      </c>
      <c r="C6025" s="2" t="s">
        <v>569</v>
      </c>
      <c r="D6025" s="2" t="str">
        <f t="shared" si="93"/>
        <v>Error?</v>
      </c>
    </row>
    <row r="6026" spans="1:5" x14ac:dyDescent="0.2">
      <c r="A6026" s="5">
        <v>5965</v>
      </c>
      <c r="B6026" s="1832">
        <f>'Revenues 9-14'!I109</f>
        <v>123276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114650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148076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17731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1180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50000</v>
      </c>
      <c r="D6081" s="2" t="str">
        <f t="shared" si="94"/>
        <v>Error?</v>
      </c>
      <c r="E6081" s="2" t="s">
        <v>189</v>
      </c>
    </row>
    <row r="6082" spans="1:5" x14ac:dyDescent="0.2">
      <c r="A6082">
        <v>6021</v>
      </c>
      <c r="B6082" s="1832">
        <f>'Assets-Liab 5-6'!D7</f>
        <v>825</v>
      </c>
      <c r="D6082" s="2" t="str">
        <f t="shared" si="94"/>
        <v>Error?</v>
      </c>
      <c r="E6082" s="2" t="s">
        <v>189</v>
      </c>
    </row>
    <row r="6083" spans="1:5" x14ac:dyDescent="0.2">
      <c r="A6083">
        <v>6022</v>
      </c>
      <c r="B6083" s="1832">
        <f>'Assets-Liab 5-6'!E7</f>
        <v>285</v>
      </c>
      <c r="D6083" s="2" t="str">
        <f t="shared" si="94"/>
        <v>Error?</v>
      </c>
      <c r="E6083" s="2" t="s">
        <v>189</v>
      </c>
    </row>
    <row r="6084" spans="1:5" x14ac:dyDescent="0.2">
      <c r="A6084">
        <v>6023</v>
      </c>
      <c r="B6084" s="1832">
        <f>'Assets-Liab 5-6'!F7</f>
        <v>337</v>
      </c>
      <c r="D6084" s="2" t="str">
        <f t="shared" si="94"/>
        <v>Error?</v>
      </c>
      <c r="E6084" s="2" t="s">
        <v>189</v>
      </c>
    </row>
    <row r="6085" spans="1:5" x14ac:dyDescent="0.2">
      <c r="A6085">
        <v>6024</v>
      </c>
      <c r="B6085" s="1832">
        <f>'Assets-Liab 5-6'!G7</f>
        <v>295</v>
      </c>
      <c r="D6085" s="2" t="str">
        <f t="shared" si="94"/>
        <v>Error?</v>
      </c>
      <c r="E6085" s="2" t="s">
        <v>189</v>
      </c>
    </row>
    <row r="6086" spans="1:5" x14ac:dyDescent="0.2">
      <c r="A6086">
        <v>6025</v>
      </c>
      <c r="B6086" s="1832">
        <f>'Assets-Liab 5-6'!H7</f>
        <v>345</v>
      </c>
      <c r="D6086" s="2" t="str">
        <f t="shared" si="94"/>
        <v>Error?</v>
      </c>
      <c r="E6086" s="2" t="s">
        <v>189</v>
      </c>
    </row>
    <row r="6087" spans="1:5" x14ac:dyDescent="0.2">
      <c r="A6087">
        <v>6026</v>
      </c>
      <c r="B6087" s="1832">
        <f>'Assets-Liab 5-6'!I7</f>
        <v>647</v>
      </c>
      <c r="D6087" s="2" t="str">
        <f t="shared" si="94"/>
        <v>Error?</v>
      </c>
      <c r="E6087" s="2" t="s">
        <v>189</v>
      </c>
    </row>
    <row r="6088" spans="1:5" x14ac:dyDescent="0.2">
      <c r="A6088">
        <v>6027</v>
      </c>
      <c r="B6088" s="1832">
        <f>'Assets-Liab 5-6'!J7</f>
        <v>11725</v>
      </c>
      <c r="D6088" s="2" t="str">
        <f t="shared" si="94"/>
        <v>Error?</v>
      </c>
      <c r="E6088" s="2" t="s">
        <v>189</v>
      </c>
    </row>
    <row r="6089" spans="1:5" x14ac:dyDescent="0.2">
      <c r="A6089">
        <v>6028</v>
      </c>
      <c r="B6089" s="1832">
        <f>'Assets-Liab 5-6'!K7</f>
        <v>105</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12098</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84954</v>
      </c>
      <c r="D6124" s="2" t="str">
        <f t="shared" si="94"/>
        <v>Error?</v>
      </c>
      <c r="E6124" s="2" t="s">
        <v>189</v>
      </c>
    </row>
    <row r="6125" spans="1:5" x14ac:dyDescent="0.2">
      <c r="A6125">
        <v>6064</v>
      </c>
      <c r="B6125" s="1832">
        <f>'Assets-Liab 5-6'!C25</f>
        <v>3174</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50000</v>
      </c>
      <c r="D6127" s="2" t="str">
        <f t="shared" si="94"/>
        <v>Error?</v>
      </c>
      <c r="E6127" s="2" t="s">
        <v>189</v>
      </c>
    </row>
    <row r="6128" spans="1:5" x14ac:dyDescent="0.2">
      <c r="A6128">
        <v>6067</v>
      </c>
      <c r="B6128" s="1832">
        <f>'Assets-Liab 5-6'!F25</f>
        <v>11390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465567</v>
      </c>
      <c r="D6142" s="2" t="str">
        <f t="shared" si="94"/>
        <v>Error?</v>
      </c>
      <c r="E6142" s="2" t="s">
        <v>189</v>
      </c>
    </row>
    <row r="6143" spans="1:5" x14ac:dyDescent="0.2">
      <c r="A6143">
        <v>6082</v>
      </c>
      <c r="B6143" s="1832">
        <f>'Assets-Liab 5-6'!D27</f>
        <v>428821</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23574</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23574</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61380</v>
      </c>
      <c r="D6215" s="2" t="str">
        <f t="shared" si="96"/>
        <v>Error?</v>
      </c>
      <c r="E6215" s="2" t="s">
        <v>189</v>
      </c>
    </row>
    <row r="6216" spans="1:5" x14ac:dyDescent="0.2">
      <c r="A6216">
        <v>6155</v>
      </c>
      <c r="B6216" s="1832">
        <f>'Assets-Liab 5-6'!J41</f>
        <v>84954</v>
      </c>
      <c r="D6216" s="2" t="str">
        <f t="shared" si="96"/>
        <v>Error?</v>
      </c>
      <c r="E6216" s="2" t="s">
        <v>189</v>
      </c>
    </row>
    <row r="6217" spans="1:5" x14ac:dyDescent="0.2">
      <c r="A6217">
        <v>6156</v>
      </c>
      <c r="B6217" s="1832">
        <f>'Assets-Liab 5-6'!J4</f>
        <v>73229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503901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503901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503901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473969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473969</v>
      </c>
      <c r="D6229" s="2" t="str">
        <f t="shared" si="96"/>
        <v>Error?</v>
      </c>
      <c r="E6229" s="2" t="s">
        <v>189</v>
      </c>
    </row>
    <row r="6230" spans="1:5" x14ac:dyDescent="0.2">
      <c r="A6230">
        <v>6169</v>
      </c>
      <c r="B6230" s="1832">
        <f>'Acct Summary 7-8'!J20</f>
        <v>29932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29932</v>
      </c>
      <c r="D6263" s="2" t="str">
        <f t="shared" si="96"/>
        <v>Error?</v>
      </c>
      <c r="E6263" s="2" t="s">
        <v>189</v>
      </c>
    </row>
    <row r="6264" spans="1:5" x14ac:dyDescent="0.2">
      <c r="A6264">
        <v>6203</v>
      </c>
      <c r="B6264" s="1832">
        <f>'Acct Summary 7-8'!J79</f>
        <v>31448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61380</v>
      </c>
      <c r="D6266" s="2" t="str">
        <f t="shared" si="96"/>
        <v>Error?</v>
      </c>
      <c r="E6266" s="2" t="s">
        <v>189</v>
      </c>
    </row>
    <row r="6267" spans="1:5" x14ac:dyDescent="0.2">
      <c r="A6267">
        <v>6206</v>
      </c>
      <c r="B6267" s="1832">
        <f>'Acct Summary 7-8'!C82</f>
        <v>392346</v>
      </c>
      <c r="D6267" s="2" t="str">
        <f t="shared" si="96"/>
        <v>Error?</v>
      </c>
      <c r="E6267" s="2" t="s">
        <v>189</v>
      </c>
    </row>
    <row r="6268" spans="1:5" x14ac:dyDescent="0.2">
      <c r="A6268">
        <v>6207</v>
      </c>
      <c r="B6268" s="1832">
        <f>'Acct Summary 7-8'!D82</f>
        <v>-171269</v>
      </c>
      <c r="D6268" s="2" t="str">
        <f t="shared" si="96"/>
        <v>Error?</v>
      </c>
      <c r="E6268" s="2" t="s">
        <v>189</v>
      </c>
    </row>
    <row r="6269" spans="1:5" x14ac:dyDescent="0.2">
      <c r="A6269">
        <v>6208</v>
      </c>
      <c r="B6269" s="1832">
        <f>'Acct Summary 7-8'!E82</f>
        <v>-170118</v>
      </c>
      <c r="D6269" s="2" t="str">
        <f t="shared" si="96"/>
        <v>Error?</v>
      </c>
      <c r="E6269" s="2" t="s">
        <v>189</v>
      </c>
    </row>
    <row r="6270" spans="1:5" x14ac:dyDescent="0.2">
      <c r="A6270">
        <v>6209</v>
      </c>
      <c r="B6270" s="1832">
        <f>'Acct Summary 7-8'!F82</f>
        <v>142937</v>
      </c>
      <c r="D6270" s="2" t="str">
        <f t="shared" si="96"/>
        <v>Error?</v>
      </c>
      <c r="E6270" s="2" t="s">
        <v>189</v>
      </c>
    </row>
    <row r="6271" spans="1:5" x14ac:dyDescent="0.2">
      <c r="A6271">
        <v>6210</v>
      </c>
      <c r="B6271" s="1832">
        <f>'Acct Summary 7-8'!G82</f>
        <v>44311</v>
      </c>
      <c r="D6271" s="2" t="str">
        <f t="shared" ref="D6271:D6334" si="97">IF(ISBLANK(B6271),"OK",IF(A6271-B6271=0,"OK","Error?"))</f>
        <v>Error?</v>
      </c>
      <c r="E6271" s="2" t="s">
        <v>189</v>
      </c>
    </row>
    <row r="6272" spans="1:5" x14ac:dyDescent="0.2">
      <c r="A6272">
        <v>6211</v>
      </c>
      <c r="B6272" s="1832">
        <f>'Acct Summary 7-8'!H82</f>
        <v>-82402</v>
      </c>
      <c r="D6272" s="2" t="str">
        <f t="shared" si="97"/>
        <v>Error?</v>
      </c>
      <c r="E6272" s="2" t="s">
        <v>189</v>
      </c>
    </row>
    <row r="6273" spans="1:5" x14ac:dyDescent="0.2">
      <c r="A6273">
        <v>6212</v>
      </c>
      <c r="B6273" s="1832">
        <f>'Acct Summary 7-8'!I82</f>
        <v>123276</v>
      </c>
      <c r="D6273" s="2" t="str">
        <f t="shared" si="97"/>
        <v>Error?</v>
      </c>
      <c r="E6273" s="2" t="s">
        <v>189</v>
      </c>
    </row>
    <row r="6274" spans="1:5" x14ac:dyDescent="0.2">
      <c r="A6274">
        <v>6213</v>
      </c>
      <c r="B6274" s="1832">
        <f>'Acct Summary 7-8'!J82</f>
        <v>29932</v>
      </c>
      <c r="D6274" s="2" t="str">
        <f t="shared" si="97"/>
        <v>Error?</v>
      </c>
      <c r="E6274" s="2" t="s">
        <v>189</v>
      </c>
    </row>
    <row r="6275" spans="1:5" x14ac:dyDescent="0.2">
      <c r="A6275">
        <v>6214</v>
      </c>
      <c r="B6275" s="1832">
        <f>'Acct Summary 7-8'!K82</f>
        <v>111539</v>
      </c>
      <c r="D6275" s="2" t="str">
        <f t="shared" si="97"/>
        <v>Error?</v>
      </c>
      <c r="E6275" s="2" t="s">
        <v>189</v>
      </c>
    </row>
    <row r="6276" spans="1:5" x14ac:dyDescent="0.2">
      <c r="A6276">
        <v>6215</v>
      </c>
      <c r="B6276" s="1832">
        <f>'Acct Summary 7-8'!C83</f>
        <v>0.37550174282055554</v>
      </c>
      <c r="D6276" s="2" t="str">
        <f t="shared" si="97"/>
        <v>Error?</v>
      </c>
      <c r="E6276" s="2" t="s">
        <v>189</v>
      </c>
    </row>
    <row r="6277" spans="1:5" x14ac:dyDescent="0.2">
      <c r="A6277">
        <v>6216</v>
      </c>
      <c r="B6277" s="1832">
        <f>'Acct Summary 7-8'!D83</f>
        <v>-0.45183868048721931</v>
      </c>
      <c r="D6277" s="2" t="str">
        <f t="shared" si="97"/>
        <v>Error?</v>
      </c>
      <c r="E6277" s="2" t="s">
        <v>189</v>
      </c>
    </row>
    <row r="6278" spans="1:5" x14ac:dyDescent="0.2">
      <c r="A6278">
        <v>6217</v>
      </c>
      <c r="B6278" s="1832">
        <f>'Acct Summary 7-8'!E83</f>
        <v>-7.8402617752788277</v>
      </c>
      <c r="D6278" s="2" t="str">
        <f t="shared" si="97"/>
        <v>Error?</v>
      </c>
      <c r="E6278" s="2" t="s">
        <v>189</v>
      </c>
    </row>
    <row r="6279" spans="1:5" x14ac:dyDescent="0.2">
      <c r="A6279">
        <v>6218</v>
      </c>
      <c r="B6279" s="1832">
        <f>'Acct Summary 7-8'!F83</f>
        <v>0.34368117335898052</v>
      </c>
      <c r="D6279" s="2" t="str">
        <f t="shared" si="97"/>
        <v>Error?</v>
      </c>
      <c r="E6279" s="2" t="s">
        <v>189</v>
      </c>
    </row>
    <row r="6280" spans="1:5" x14ac:dyDescent="0.2">
      <c r="A6280">
        <v>6219</v>
      </c>
      <c r="B6280" s="1832">
        <f>'Acct Summary 7-8'!G83</f>
        <v>0.11924830321917403</v>
      </c>
      <c r="D6280" s="2" t="str">
        <f t="shared" si="97"/>
        <v>Error?</v>
      </c>
      <c r="E6280" s="2" t="s">
        <v>189</v>
      </c>
    </row>
    <row r="6281" spans="1:5" x14ac:dyDescent="0.2">
      <c r="A6281">
        <v>6220</v>
      </c>
      <c r="B6281" s="1832">
        <f>'Acct Summary 7-8'!H83</f>
        <v>-0.27542616485059163</v>
      </c>
      <c r="D6281" s="2" t="str">
        <f t="shared" si="97"/>
        <v>Error?</v>
      </c>
      <c r="E6281" s="2" t="s">
        <v>189</v>
      </c>
    </row>
    <row r="6282" spans="1:5" x14ac:dyDescent="0.2">
      <c r="A6282">
        <v>6221</v>
      </c>
      <c r="B6282" s="1832">
        <f>'Acct Summary 7-8'!I83</f>
        <v>5.6047054137991707E-2</v>
      </c>
      <c r="D6282" s="2" t="str">
        <f t="shared" si="97"/>
        <v>Error?</v>
      </c>
      <c r="E6282" s="2" t="s">
        <v>189</v>
      </c>
    </row>
    <row r="6283" spans="1:5" x14ac:dyDescent="0.2">
      <c r="A6283">
        <v>6222</v>
      </c>
      <c r="B6283" s="1832">
        <f>'Acct Summary 7-8'!J83</f>
        <v>0.48765070055392634</v>
      </c>
      <c r="D6283" s="2" t="str">
        <f t="shared" si="97"/>
        <v>Error?</v>
      </c>
      <c r="E6283" s="2" t="s">
        <v>189</v>
      </c>
    </row>
    <row r="6284" spans="1:5" x14ac:dyDescent="0.2">
      <c r="A6284">
        <v>6223</v>
      </c>
      <c r="B6284" s="1832">
        <f>'Acct Summary 7-8'!K83</f>
        <v>0.28733834818898452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499265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499265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4636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4636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24434</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10440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503901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4510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55058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106607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14116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473969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503901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224640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224640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224640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1412</v>
      </c>
      <c r="D7073" s="2" t="str">
        <f t="shared" si="109"/>
        <v>Error?</v>
      </c>
    </row>
    <row r="7074" spans="1:4" x14ac:dyDescent="0.2">
      <c r="A7074">
        <v>7013</v>
      </c>
      <c r="B7074" s="1832">
        <f>'Expenditures 15-22'!K216</f>
        <v>1412</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186</v>
      </c>
      <c r="D7079" s="2" t="str">
        <f t="shared" si="109"/>
        <v>Error?</v>
      </c>
    </row>
    <row r="7080" spans="1:4" x14ac:dyDescent="0.2">
      <c r="A7080">
        <v>7019</v>
      </c>
      <c r="B7080" s="1832">
        <f>'Expenditures 15-22'!K226</f>
        <v>186</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246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246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74613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74613</v>
      </c>
      <c r="D7153" s="2" t="str">
        <f t="shared" si="110"/>
        <v>Error?</v>
      </c>
    </row>
    <row r="7154" spans="1:4" x14ac:dyDescent="0.2">
      <c r="A7154">
        <v>7093</v>
      </c>
      <c r="B7154" s="1832">
        <f>'Expenditures 15-22'!C323</f>
        <v>287436</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6815</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294251</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69646</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10494</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80140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24719</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24719</v>
      </c>
      <c r="D7198" s="2" t="str">
        <f t="shared" si="111"/>
        <v>Error?</v>
      </c>
    </row>
    <row r="7199" spans="1:4" x14ac:dyDescent="0.2">
      <c r="A7199">
        <v>7138</v>
      </c>
      <c r="B7199" s="1832">
        <f>'Expenditures 15-22'!C330</f>
        <v>287436</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176039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10494</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473969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287436</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176039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10494</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473969</v>
      </c>
      <c r="D7224" s="2" t="str">
        <f t="shared" si="111"/>
        <v>Error?</v>
      </c>
    </row>
    <row r="7225" spans="1:4" x14ac:dyDescent="0.2">
      <c r="A7225">
        <v>7164</v>
      </c>
      <c r="B7225" s="1832">
        <f>'Expenditures 15-22'!K343</f>
        <v>29932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7987</v>
      </c>
      <c r="D7246" s="2" t="str">
        <f t="shared" si="112"/>
        <v>Error?</v>
      </c>
    </row>
    <row r="7247" spans="1:4" x14ac:dyDescent="0.2">
      <c r="A7247">
        <f t="shared" si="113"/>
        <v>7186</v>
      </c>
      <c r="B7247" s="1832">
        <f>'Expenditures 15-22'!E7</f>
        <v>569</v>
      </c>
      <c r="D7247" s="2" t="str">
        <f t="shared" si="112"/>
        <v>Error?</v>
      </c>
    </row>
    <row r="7248" spans="1:4" x14ac:dyDescent="0.2">
      <c r="A7248">
        <f t="shared" si="113"/>
        <v>7187</v>
      </c>
      <c r="B7248" s="1832">
        <f>'Expenditures 15-22'!F7</f>
        <v>12564</v>
      </c>
      <c r="D7248" s="2" t="str">
        <f t="shared" si="112"/>
        <v>Error?</v>
      </c>
    </row>
    <row r="7249" spans="1:4" x14ac:dyDescent="0.2">
      <c r="A7249">
        <f t="shared" si="113"/>
        <v>7188</v>
      </c>
      <c r="B7249" s="1832">
        <f>'Expenditures 15-22'!G7</f>
        <v>30429</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9126</v>
      </c>
      <c r="D7263" s="2" t="str">
        <f t="shared" si="112"/>
        <v>Error?</v>
      </c>
    </row>
    <row r="7264" spans="1:4" x14ac:dyDescent="0.2">
      <c r="A7264">
        <f t="shared" si="113"/>
        <v>7203</v>
      </c>
      <c r="B7264" s="1832">
        <f>'Expenditures 15-22'!D17</f>
        <v>1148</v>
      </c>
      <c r="D7264" s="2" t="str">
        <f t="shared" si="112"/>
        <v>Error?</v>
      </c>
    </row>
    <row r="7265" spans="1:5" x14ac:dyDescent="0.2">
      <c r="A7265">
        <f t="shared" si="113"/>
        <v>7204</v>
      </c>
      <c r="B7265" s="1832">
        <f>'Expenditures 15-22'!E17</f>
        <v>3516</v>
      </c>
      <c r="D7265" s="2" t="str">
        <f t="shared" si="112"/>
        <v>Error?</v>
      </c>
    </row>
    <row r="7266" spans="1:5" x14ac:dyDescent="0.2">
      <c r="A7266">
        <f t="shared" si="113"/>
        <v>7205</v>
      </c>
      <c r="B7266" s="1832">
        <f>'Expenditures 15-22'!F17</f>
        <v>326</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391371</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391371</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391371</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224640</v>
      </c>
      <c r="D7624" s="2" t="str">
        <f t="shared" si="124"/>
        <v>Error?</v>
      </c>
      <c r="E7624" s="2" t="s">
        <v>19</v>
      </c>
    </row>
    <row r="7625" spans="1:5" x14ac:dyDescent="0.2">
      <c r="A7625">
        <f t="shared" si="123"/>
        <v>7564</v>
      </c>
      <c r="B7625" s="1832">
        <f>'Cap Outlay Deprec 26'!I17</f>
        <v>22464</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911845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113503</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708103</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10440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10710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708103</v>
      </c>
      <c r="D7718" s="2" t="str">
        <f t="shared" si="126"/>
        <v>Error?</v>
      </c>
      <c r="E7718" s="2" t="s">
        <v>822</v>
      </c>
    </row>
    <row r="7719" spans="1:6" x14ac:dyDescent="0.2">
      <c r="A7719">
        <v>7658</v>
      </c>
      <c r="B7719" s="1832">
        <f>'Rest Tax Levies-Tort Im 25'!K12</f>
        <v>21150</v>
      </c>
      <c r="D7719" s="2" t="str">
        <f t="shared" si="126"/>
        <v>Error?</v>
      </c>
      <c r="E7719" s="2" t="s">
        <v>822</v>
      </c>
    </row>
    <row r="7720" spans="1:6" x14ac:dyDescent="0.2">
      <c r="A7720">
        <v>7659</v>
      </c>
      <c r="B7720" s="1832">
        <f>'Rest Tax Levies-Tort Im 25'!H14</f>
        <v>90552</v>
      </c>
      <c r="D7720" s="2" t="str">
        <f t="shared" si="126"/>
        <v>Error?</v>
      </c>
      <c r="E7720" s="2" t="s">
        <v>822</v>
      </c>
    </row>
    <row r="7721" spans="1:6" x14ac:dyDescent="0.2">
      <c r="A7721">
        <v>7660</v>
      </c>
      <c r="B7721" s="1832">
        <f>'Rest Tax Levies-Tort Im 25'!K14</f>
        <v>21150</v>
      </c>
      <c r="D7721" s="2" t="str">
        <f t="shared" si="126"/>
        <v>Error?</v>
      </c>
      <c r="E7721" s="2" t="s">
        <v>822</v>
      </c>
    </row>
    <row r="7722" spans="1:6" x14ac:dyDescent="0.2">
      <c r="A7722">
        <v>7661</v>
      </c>
      <c r="B7722" s="1832">
        <f>'Rest Tax Levies-Tort Im 25'!J15</f>
        <v>100293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56313</v>
      </c>
      <c r="D7724" s="2" t="str">
        <f t="shared" si="126"/>
        <v>Error?</v>
      </c>
      <c r="E7724" s="2" t="s">
        <v>822</v>
      </c>
      <c r="F7724" s="2"/>
    </row>
    <row r="7725" spans="1:6" x14ac:dyDescent="0.2">
      <c r="A7725">
        <v>7664</v>
      </c>
      <c r="B7725" s="1832">
        <f>'Rest Tax Levies-Tort Im 25'!J19</f>
        <v>665000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721313</v>
      </c>
      <c r="D7727" s="2" t="str">
        <f t="shared" si="126"/>
        <v>Error?</v>
      </c>
      <c r="E7727" s="2" t="s">
        <v>822</v>
      </c>
    </row>
    <row r="7728" spans="1:6" x14ac:dyDescent="0.2">
      <c r="A7728">
        <v>7667</v>
      </c>
      <c r="B7728" s="1832">
        <f>'Revenues 9-14'!E103</f>
        <v>233674</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821606</v>
      </c>
      <c r="D7730" s="2" t="str">
        <f t="shared" si="126"/>
        <v>Error?</v>
      </c>
      <c r="E7730" s="2" t="s">
        <v>822</v>
      </c>
    </row>
    <row r="7731" spans="1:6" x14ac:dyDescent="0.2">
      <c r="A7731">
        <v>7670</v>
      </c>
      <c r="B7731" s="1832">
        <f>'Revenues 9-14'!H103</f>
        <v>474429</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21150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22600000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-111822</v>
      </c>
      <c r="D7820" s="2" t="str">
        <f t="shared" si="128"/>
        <v>Error?</v>
      </c>
    </row>
    <row r="7821" spans="1:5" x14ac:dyDescent="0.2">
      <c r="A7821">
        <v>7760</v>
      </c>
      <c r="B7821" s="1832">
        <f>'ICR Computation 30'!G40</f>
        <v>-111822</v>
      </c>
      <c r="D7821" s="2" t="str">
        <f t="shared" si="128"/>
        <v>Error?</v>
      </c>
    </row>
    <row r="7822" spans="1:5" x14ac:dyDescent="0.2">
      <c r="A7822" s="1">
        <v>7761</v>
      </c>
      <c r="B7822" s="1832">
        <f>'PCTC-OEPP 27-28'!F14</f>
        <v>13764421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76178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3493533</v>
      </c>
      <c r="D7834" s="2" t="str">
        <f t="shared" si="129"/>
        <v>Error?</v>
      </c>
      <c r="E7834" s="4" t="s">
        <v>1998</v>
      </c>
    </row>
    <row r="7835" spans="1:5" x14ac:dyDescent="0.2">
      <c r="A7835">
        <v>7774</v>
      </c>
      <c r="B7835" s="1832">
        <f>'PCTC-OEPP 27-28'!F78</f>
        <v>10270888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8704.1423728813552</v>
      </c>
      <c r="D7837" s="2" t="str">
        <f t="shared" si="129"/>
        <v>Error?</v>
      </c>
      <c r="E7837" s="4" t="s">
        <v>1998</v>
      </c>
    </row>
    <row r="7838" spans="1:5" x14ac:dyDescent="0.2">
      <c r="A7838">
        <v>7777</v>
      </c>
      <c r="B7838" s="1832">
        <f>'PCTC-OEPP 27-28'!F96</f>
        <v>81273</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14741</v>
      </c>
      <c r="D7842" s="2" t="str">
        <f t="shared" si="129"/>
        <v>Error?</v>
      </c>
      <c r="E7842" s="4" t="s">
        <v>1998</v>
      </c>
    </row>
    <row r="7843" spans="1:5" x14ac:dyDescent="0.2">
      <c r="A7843">
        <v>7782</v>
      </c>
      <c r="B7843" s="1832">
        <f>'PCTC-OEPP 27-28'!F107</f>
        <v>4510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10710</v>
      </c>
      <c r="D7846" s="2" t="str">
        <f t="shared" si="129"/>
        <v>Error?</v>
      </c>
      <c r="E7846" s="4" t="s">
        <v>1998</v>
      </c>
    </row>
    <row r="7847" spans="1:5" x14ac:dyDescent="0.2">
      <c r="A7847">
        <v>7786</v>
      </c>
      <c r="B7847" s="1832">
        <f>'PCTC-OEPP 27-28'!F112</f>
        <v>392405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67909</v>
      </c>
      <c r="D7858" s="2" t="str">
        <f t="shared" si="129"/>
        <v>Error?</v>
      </c>
      <c r="E7858" s="4" t="s">
        <v>1998</v>
      </c>
    </row>
    <row r="7859" spans="1:5" x14ac:dyDescent="0.2">
      <c r="A7859">
        <v>7798</v>
      </c>
      <c r="B7859" s="1832">
        <f>'PCTC-OEPP 27-28'!F127</f>
        <v>142170</v>
      </c>
      <c r="D7859" s="2" t="str">
        <f t="shared" si="129"/>
        <v>Error?</v>
      </c>
      <c r="E7859" s="4" t="s">
        <v>1998</v>
      </c>
    </row>
    <row r="7860" spans="1:5" x14ac:dyDescent="0.2">
      <c r="A7860">
        <v>7799</v>
      </c>
      <c r="B7860" s="1832">
        <f>'PCTC-OEPP 27-28'!F128</f>
        <v>10862</v>
      </c>
      <c r="D7860" s="2" t="str">
        <f t="shared" si="129"/>
        <v>Error?</v>
      </c>
      <c r="E7860" s="4" t="s">
        <v>1998</v>
      </c>
    </row>
    <row r="7861" spans="1:5" x14ac:dyDescent="0.2">
      <c r="A7861">
        <v>7800</v>
      </c>
      <c r="B7861" s="1832">
        <f>'PCTC-OEPP 27-28'!F129</f>
        <v>192864</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26584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5054</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1327514</v>
      </c>
      <c r="D7877" s="2" t="str">
        <f t="shared" si="129"/>
        <v>Error?</v>
      </c>
      <c r="E7877" s="4" t="s">
        <v>1998</v>
      </c>
    </row>
    <row r="7878" spans="1:5" x14ac:dyDescent="0.2">
      <c r="A7878">
        <v>7817</v>
      </c>
      <c r="B7878" s="1832">
        <f>'PCTC-OEPP 27-28'!F176</f>
        <v>8943374</v>
      </c>
      <c r="D7878" s="2" t="str">
        <f t="shared" si="129"/>
        <v>Error?</v>
      </c>
      <c r="E7878" s="4" t="s">
        <v>1998</v>
      </c>
    </row>
    <row r="7879" spans="1:5" x14ac:dyDescent="0.2">
      <c r="A7879">
        <v>7818</v>
      </c>
      <c r="B7879" s="1832">
        <f>'PCTC-OEPP 27-28'!F178</f>
        <v>9855219</v>
      </c>
      <c r="D7879" s="2" t="str">
        <f t="shared" si="129"/>
        <v>Error?</v>
      </c>
      <c r="E7879" s="4" t="s">
        <v>1998</v>
      </c>
    </row>
    <row r="7880" spans="1:5" x14ac:dyDescent="0.2">
      <c r="A7880">
        <v>7819</v>
      </c>
      <c r="B7880" s="1832">
        <f>'PCTC-OEPP 27-28'!F180</f>
        <v>8351.8805084745763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10494</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Maroa Forsyth CUSD 2</v>
      </c>
      <c r="B7" s="2537"/>
      <c r="C7" s="2537"/>
      <c r="D7" s="2538"/>
      <c r="E7" s="2539">
        <f>COVER!A13</f>
        <v>39055002026</v>
      </c>
      <c r="F7" s="2540"/>
      <c r="G7" s="2546" t="str">
        <f>COVER!T23</f>
        <v>066-004385</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FLOYD &amp; ASSOCIATES, CPAS</v>
      </c>
      <c r="H9" s="2552"/>
      <c r="I9" s="2552"/>
      <c r="J9" s="2552"/>
      <c r="K9" s="2552"/>
      <c r="L9" s="2553"/>
    </row>
    <row r="10" spans="1:29" ht="13.5" customHeight="1" x14ac:dyDescent="0.2">
      <c r="A10" s="2525" t="str">
        <f>COVER!A38</f>
        <v>JOHN AHLEMEYER</v>
      </c>
      <c r="B10" s="2526"/>
      <c r="C10" s="2526"/>
      <c r="D10" s="2526"/>
      <c r="E10" s="2526"/>
      <c r="F10" s="2527"/>
      <c r="G10" s="2519" t="str">
        <f>COVER!T17</f>
        <v>910 STATE HWY 54 EAST</v>
      </c>
      <c r="H10" s="2520"/>
      <c r="I10" s="2520"/>
      <c r="J10" s="2520"/>
      <c r="K10" s="2520"/>
      <c r="L10" s="2521"/>
    </row>
    <row r="11" spans="1:29" ht="13.5" customHeight="1" x14ac:dyDescent="0.2">
      <c r="A11" s="963" t="s">
        <v>1502</v>
      </c>
      <c r="B11" s="964"/>
      <c r="C11" s="965"/>
      <c r="D11" s="970"/>
      <c r="E11" s="965"/>
      <c r="F11" s="969"/>
      <c r="G11" s="2519" t="str">
        <f>COVER!T19</f>
        <v>CLINTON</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JULIE@FLOYDCPAS.COM</v>
      </c>
      <c r="J13" s="2532"/>
      <c r="K13" s="2532"/>
      <c r="L13" s="2533"/>
    </row>
    <row r="14" spans="1:29" ht="13.5" customHeight="1" x14ac:dyDescent="0.2">
      <c r="A14" s="2519" t="str">
        <f>COVER!A19</f>
        <v>PO BOX 738</v>
      </c>
      <c r="B14" s="2520"/>
      <c r="C14" s="2520"/>
      <c r="D14" s="2520"/>
      <c r="E14" s="2520"/>
      <c r="F14" s="2521"/>
      <c r="G14" s="974" t="s">
        <v>1175</v>
      </c>
      <c r="H14" s="972"/>
      <c r="I14" s="972"/>
      <c r="J14" s="972"/>
      <c r="K14" s="972"/>
      <c r="L14" s="973"/>
    </row>
    <row r="15" spans="1:29" ht="13.5" customHeight="1" x14ac:dyDescent="0.2">
      <c r="A15" s="2519" t="str">
        <f>COVER!A21</f>
        <v>MAROA</v>
      </c>
      <c r="B15" s="2520"/>
      <c r="C15" s="2520"/>
      <c r="D15" s="2520"/>
      <c r="E15" s="2520"/>
      <c r="F15" s="2521"/>
      <c r="G15" s="2516" t="str">
        <f>COVER!T15</f>
        <v>JULIE M. FLOYD</v>
      </c>
      <c r="H15" s="2517"/>
      <c r="I15" s="2517"/>
      <c r="J15" s="2517"/>
      <c r="K15" s="2517"/>
      <c r="L15" s="2518"/>
    </row>
    <row r="16" spans="1:29" ht="12.2" customHeight="1" x14ac:dyDescent="0.2">
      <c r="A16" s="2542">
        <f>COVER!A25</f>
        <v>61756</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217-935-8871</v>
      </c>
      <c r="H18" s="2537"/>
      <c r="I18" s="2537"/>
      <c r="J18" s="2537"/>
      <c r="K18" s="2536" t="str">
        <f>COVER!X21</f>
        <v>217-935-5711</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2"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Maroa Forsyth CUSD 2</v>
      </c>
      <c r="B1" s="2559"/>
      <c r="C1" s="2559"/>
      <c r="D1" s="2559"/>
    </row>
    <row r="2" spans="1:11" s="991" customFormat="1" ht="12.75" x14ac:dyDescent="0.2">
      <c r="A2" s="2560">
        <f>'Single Audit Cover'!E7</f>
        <v>39055002026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49"/>
  <sheetViews>
    <sheetView showGridLines="0" zoomScale="110" zoomScaleNormal="110" zoomScaleSheetLayoutView="100" workbookViewId="0">
      <selection activeCell="H30" sqref="H3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Maroa Forsyth CUSD 2</v>
      </c>
      <c r="B1" s="2563"/>
      <c r="C1" s="2563"/>
      <c r="D1" s="2563"/>
      <c r="E1" s="2563"/>
    </row>
    <row r="2" spans="1:5" x14ac:dyDescent="0.2">
      <c r="A2" s="2564">
        <f>'Single Audit Cover'!E7</f>
        <v>39055002026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447731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17731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465462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465462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465462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09" right="0" top="0.5" bottom="0.5" header="0.25" footer="0.25"/>
  <pageSetup scale="88" firstPageNumber="38" orientation="landscape" useFirstPageNumber="1" r:id="rId1"/>
  <headerFooter alignWithMargins="0">
    <oddHeader>&amp;R&amp;8Page 41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D14" sqref="D1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Maroa Forsyth CUSD 2</v>
      </c>
      <c r="C1" s="2567"/>
      <c r="D1" s="2567"/>
      <c r="E1" s="2567"/>
      <c r="F1" s="2567"/>
      <c r="G1" s="2567"/>
      <c r="H1" s="2567"/>
      <c r="I1" s="2567"/>
      <c r="J1" s="2567"/>
      <c r="K1" s="2567"/>
      <c r="L1" s="2567"/>
      <c r="M1" s="2567"/>
    </row>
    <row r="2" spans="2:14" ht="15" x14ac:dyDescent="0.2">
      <c r="B2" s="2568">
        <f>'Single Audit Cover'!E7</f>
        <v>39055002026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D14" sqref="D1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Maroa Forsyth CUSD 2</v>
      </c>
      <c r="B1" s="2580"/>
      <c r="C1" s="2580"/>
      <c r="D1" s="2580"/>
      <c r="E1" s="2580"/>
      <c r="F1" s="2580"/>
    </row>
    <row r="2" spans="1:7" ht="13.5" customHeight="1" x14ac:dyDescent="0.2">
      <c r="A2" s="2568">
        <f>'Single Audit Cover'!E7</f>
        <v>39055002026</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09" right="0" top="0.5" bottom="0.5" header="0.25" footer="0.25"/>
  <pageSetup scale="65"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10" sqref="B1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2054</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2053</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D14" sqref="D14"/>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Maroa Forsyth CUSD 2</v>
      </c>
      <c r="C1" s="2595"/>
      <c r="D1" s="2595"/>
      <c r="E1" s="2595"/>
      <c r="F1" s="2595"/>
      <c r="G1" s="2595"/>
      <c r="H1" s="2595"/>
      <c r="I1" s="2595"/>
      <c r="J1" s="1178"/>
    </row>
    <row r="2" spans="2:10" s="295" customFormat="1" ht="12.75" customHeight="1" x14ac:dyDescent="0.2">
      <c r="B2" s="2596">
        <f>'Single Audit Cover'!E7</f>
        <v>39055002026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09" right="0" top="0.5" bottom="0.5" header="0.25" footer="0.25"/>
  <pageSetup scale="98" firstPageNumber="38" orientation="portrait" useFirstPageNumber="1" r:id="rId1"/>
  <headerFooter alignWithMargins="0">
    <oddHeader>&amp;R&amp;8Page 41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Maroa Forsyth CUSD 2</v>
      </c>
      <c r="C1" s="2594"/>
      <c r="D1" s="2594"/>
      <c r="E1" s="2594"/>
      <c r="F1" s="2594"/>
      <c r="G1" s="2594"/>
      <c r="H1" s="2594"/>
      <c r="I1" s="2594"/>
      <c r="J1" s="2594"/>
      <c r="K1" s="2594"/>
      <c r="L1" s="1144"/>
      <c r="M1" s="1144"/>
    </row>
    <row r="2" spans="1:13" ht="12" customHeight="1" x14ac:dyDescent="0.2">
      <c r="B2" s="2596">
        <f>'Single Audit Cover'!E7</f>
        <v>39055002026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09" right="0" top="0.5" bottom="0.5" header="0.25" footer="0.25"/>
  <pageSetup scale="84" firstPageNumber="38" orientation="landscape" useFirstPageNumber="1" r:id="rId1"/>
  <headerFooter alignWithMargins="0">
    <oddHeader>&amp;R&amp;8Page 41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48"/>
  <sheetViews>
    <sheetView showGridLines="0" zoomScale="110" zoomScaleNormal="110" workbookViewId="0">
      <selection activeCell="D14" sqref="D1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Maroa Forsyth CUSD 2</v>
      </c>
      <c r="C1" s="2617"/>
      <c r="D1" s="2617"/>
      <c r="E1" s="2617"/>
      <c r="F1" s="2617"/>
      <c r="G1" s="2617"/>
      <c r="H1" s="2617"/>
      <c r="I1" s="2617"/>
      <c r="J1" s="2617"/>
      <c r="K1" s="2617"/>
      <c r="L1" s="1221"/>
    </row>
    <row r="2" spans="1:12" ht="12.75" customHeight="1" x14ac:dyDescent="0.2">
      <c r="B2" s="2618">
        <f>'Single Audit Cover'!E7</f>
        <v>39055002026</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09" right="0" top="0.5" bottom="0.5" header="0.25" footer="0.25"/>
  <pageSetup scale="78" firstPageNumber="38" orientation="landscape" useFirstPageNumber="1" r:id="rId1"/>
  <headerFooter alignWithMargins="0">
    <oddHeader>&amp;R&amp;8Page 41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election activeCell="D14" sqref="D1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Maroa Forsyth CUSD 2</v>
      </c>
      <c r="C1" s="2594"/>
      <c r="D1" s="2594"/>
      <c r="E1" s="1240"/>
    </row>
    <row r="2" spans="2:5" s="1058" customFormat="1" ht="12.75" customHeight="1" x14ac:dyDescent="0.2">
      <c r="B2" s="2596">
        <f>'Single Audit Cover'!E7</f>
        <v>39055002026</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09" right="0" top="0.5" bottom="0.5" header="0.25" footer="0.25"/>
  <pageSetup scale="81" firstPageNumber="38" orientation="landscape" useFirstPageNumber="1" r:id="rId1"/>
  <headerFooter alignWithMargins="0">
    <oddHeader>&amp;R&amp;8Page 41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227116021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2.3E-2</v>
      </c>
      <c r="E10" s="333" t="s">
        <v>998</v>
      </c>
      <c r="F10" s="332">
        <v>5.0000000000000001E-3</v>
      </c>
      <c r="G10" s="333" t="s">
        <v>998</v>
      </c>
      <c r="H10" s="332">
        <v>2E-3</v>
      </c>
      <c r="I10" s="333" t="s">
        <v>999</v>
      </c>
      <c r="J10" s="1424">
        <f>ROUND(D10+F10+H10,5)</f>
        <v>0.03</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10522797</v>
      </c>
      <c r="E16" s="1547"/>
      <c r="F16" s="1546">
        <f>SUM('Acct Summary 7-8'!C17,'Acct Summary 7-8'!D17,'Acct Summary 7-8'!F17)</f>
        <v>10035507</v>
      </c>
      <c r="G16" s="1547"/>
      <c r="H16" s="1546">
        <f>SUM(D16-F16)</f>
        <v>487290</v>
      </c>
      <c r="I16" s="1548"/>
      <c r="J16" s="1546">
        <f>SUM('Acct Summary 7-8'!C81,'Acct Summary 7-8'!D81,'Acct Summary 7-8'!F81,'Acct Summary 7-8'!I81)</f>
        <v>4039316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31342010.898000002</v>
      </c>
      <c r="I31" s="345"/>
      <c r="J31" s="217"/>
      <c r="K31" s="217"/>
      <c r="L31" s="217"/>
      <c r="M31" s="217"/>
    </row>
    <row r="32" spans="1:13" ht="13.35" customHeight="1" x14ac:dyDescent="0.2">
      <c r="B32" s="346" t="s">
        <v>2054</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12827000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Maroa Forsyth CUSD 2</v>
      </c>
      <c r="E7" s="368"/>
      <c r="G7" s="247"/>
      <c r="H7" s="364"/>
      <c r="I7" s="364"/>
      <c r="J7" s="364"/>
      <c r="K7" s="364"/>
      <c r="L7" s="307"/>
      <c r="M7" s="307"/>
      <c r="N7" s="307"/>
      <c r="O7" s="307"/>
      <c r="P7" s="307"/>
    </row>
    <row r="8" spans="1:18" ht="12.75" x14ac:dyDescent="0.2">
      <c r="A8" s="307"/>
      <c r="B8" s="307"/>
      <c r="C8" s="366" t="s">
        <v>1115</v>
      </c>
      <c r="D8" s="369">
        <f>COVER!A13</f>
        <v>39055002026</v>
      </c>
      <c r="E8" s="370"/>
      <c r="G8" s="307"/>
      <c r="H8" s="307"/>
      <c r="I8" s="307"/>
      <c r="J8" s="307"/>
      <c r="K8" s="307"/>
      <c r="L8" s="307"/>
      <c r="M8" s="307"/>
      <c r="N8" s="307"/>
      <c r="O8" s="307"/>
      <c r="P8" s="307"/>
    </row>
    <row r="9" spans="1:18" ht="12.75" x14ac:dyDescent="0.2">
      <c r="A9" s="307"/>
      <c r="B9" s="307"/>
      <c r="C9" s="366" t="s">
        <v>708</v>
      </c>
      <c r="D9" s="371" t="str">
        <f>COVER!A15</f>
        <v>MACON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4039316</v>
      </c>
      <c r="I12" s="380"/>
      <c r="J12" s="380"/>
      <c r="K12" s="1559">
        <f>TRUNC((H12/H13*100000),5)/100000</f>
        <v>0.38386333969999997</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10522797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10035507</v>
      </c>
      <c r="I17" s="380"/>
      <c r="J17" s="389"/>
      <c r="K17" s="1559">
        <f>TRUNC((H17/H18*100000),5)/100000</f>
        <v>0.95369196989999994</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10522797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4878108</v>
      </c>
      <c r="I24" s="394"/>
      <c r="J24" s="394"/>
      <c r="K24" s="1555">
        <f>TRUNC(((H24/H25*100000)/100000),2)</f>
        <v>174.99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27876.408329999998</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5791458.5355000002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12827000</v>
      </c>
      <c r="I32" s="392"/>
      <c r="J32" s="392"/>
      <c r="K32" s="1555">
        <f>TRUNC(100-((((H32/H33*100))*100)/100),2)</f>
        <v>59.07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31342010.898000002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13880</v>
      </c>
      <c r="D4" s="1573"/>
      <c r="E4" s="1573">
        <v>57688</v>
      </c>
      <c r="F4" s="1573">
        <v>338969</v>
      </c>
      <c r="G4" s="1573">
        <v>123033</v>
      </c>
      <c r="H4" s="1573">
        <v>176718</v>
      </c>
      <c r="I4" s="1573">
        <v>680687</v>
      </c>
      <c r="J4" s="1574">
        <v>73229</v>
      </c>
      <c r="K4" s="1573">
        <v>270222</v>
      </c>
      <c r="L4" s="1573">
        <v>153282</v>
      </c>
      <c r="M4" s="1575"/>
      <c r="N4" s="1576"/>
    </row>
    <row r="5" spans="1:14" x14ac:dyDescent="0.2">
      <c r="A5" s="427" t="s">
        <v>985</v>
      </c>
      <c r="B5" s="429">
        <v>120</v>
      </c>
      <c r="C5" s="1572">
        <v>1431368</v>
      </c>
      <c r="D5" s="1573">
        <v>807045</v>
      </c>
      <c r="E5" s="1573">
        <v>13725</v>
      </c>
      <c r="F5" s="1573">
        <v>87984</v>
      </c>
      <c r="G5" s="1573">
        <v>236160</v>
      </c>
      <c r="H5" s="1573">
        <v>122117</v>
      </c>
      <c r="I5" s="1573">
        <v>1518175</v>
      </c>
      <c r="J5" s="1574"/>
      <c r="K5" s="1577">
        <v>117853</v>
      </c>
      <c r="L5" s="1578">
        <v>47295</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50000</v>
      </c>
      <c r="D7" s="1574">
        <v>825</v>
      </c>
      <c r="E7" s="1574">
        <v>285</v>
      </c>
      <c r="F7" s="1574">
        <v>337</v>
      </c>
      <c r="G7" s="1574">
        <v>295</v>
      </c>
      <c r="H7" s="1574">
        <v>345</v>
      </c>
      <c r="I7" s="1574">
        <v>647</v>
      </c>
      <c r="J7" s="1574">
        <v>11725</v>
      </c>
      <c r="K7" s="1574">
        <v>105</v>
      </c>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v>12098</v>
      </c>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18351</v>
      </c>
      <c r="D12" s="1573"/>
      <c r="E12" s="1573"/>
      <c r="F12" s="1573"/>
      <c r="G12" s="1573"/>
      <c r="H12" s="1573"/>
      <c r="I12" s="1573"/>
      <c r="J12" s="1574"/>
      <c r="K12" s="1573"/>
      <c r="L12" s="1573"/>
      <c r="M12" s="1576"/>
      <c r="N12" s="1576"/>
    </row>
    <row r="13" spans="1:14" ht="13.5" customHeight="1" thickBot="1" x14ac:dyDescent="0.25">
      <c r="A13" s="1426" t="s">
        <v>639</v>
      </c>
      <c r="B13" s="1407"/>
      <c r="C13" s="1587">
        <f>SUM(C4:C12)</f>
        <v>1513599</v>
      </c>
      <c r="D13" s="1587">
        <f t="shared" ref="D13:L13" si="0">SUM(D4:D12)</f>
        <v>807870</v>
      </c>
      <c r="E13" s="1587">
        <f t="shared" si="0"/>
        <v>71698</v>
      </c>
      <c r="F13" s="1587">
        <f t="shared" si="0"/>
        <v>427290</v>
      </c>
      <c r="G13" s="1587">
        <f t="shared" si="0"/>
        <v>371586</v>
      </c>
      <c r="H13" s="1587">
        <f t="shared" si="0"/>
        <v>299180</v>
      </c>
      <c r="I13" s="1587">
        <f t="shared" si="0"/>
        <v>2199509</v>
      </c>
      <c r="J13" s="1587">
        <f t="shared" si="0"/>
        <v>84954</v>
      </c>
      <c r="K13" s="1587">
        <f t="shared" si="0"/>
        <v>388180</v>
      </c>
      <c r="L13" s="1587">
        <f t="shared" si="0"/>
        <v>200577</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21698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12805302</v>
      </c>
    </row>
    <row r="23" spans="1:14" ht="13.5" customHeight="1" thickBot="1" x14ac:dyDescent="0.25">
      <c r="A23" s="1426" t="s">
        <v>638</v>
      </c>
      <c r="B23" s="1429"/>
      <c r="C23" s="1575"/>
      <c r="D23" s="1575"/>
      <c r="E23" s="1575"/>
      <c r="F23" s="1575"/>
      <c r="G23" s="1575"/>
      <c r="H23" s="1575"/>
      <c r="I23" s="1575"/>
      <c r="J23" s="1575"/>
      <c r="K23" s="1575"/>
      <c r="L23" s="1575"/>
      <c r="M23" s="1594">
        <f>SUM(M15:M22)</f>
        <v>0</v>
      </c>
      <c r="N23" s="1594">
        <f>SUM(N21:N22)</f>
        <v>12827000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v>3174</v>
      </c>
      <c r="D25" s="1583"/>
      <c r="E25" s="1583">
        <v>50000</v>
      </c>
      <c r="F25" s="1583">
        <v>11390</v>
      </c>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465567</v>
      </c>
      <c r="D27" s="1574">
        <v>428821</v>
      </c>
      <c r="E27" s="1574"/>
      <c r="F27" s="1574"/>
      <c r="G27" s="1574"/>
      <c r="H27" s="1574"/>
      <c r="I27" s="1574"/>
      <c r="J27" s="1574">
        <v>23574</v>
      </c>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200577</v>
      </c>
      <c r="M33" s="1575"/>
      <c r="N33" s="1576"/>
    </row>
    <row r="34" spans="1:14" ht="13.5" customHeight="1" thickBot="1" x14ac:dyDescent="0.25">
      <c r="A34" s="1427" t="s">
        <v>649</v>
      </c>
      <c r="B34" s="1428"/>
      <c r="C34" s="1600">
        <f>SUM(C25:C33)</f>
        <v>468741</v>
      </c>
      <c r="D34" s="1600">
        <f t="shared" ref="D34:K34" si="1">SUM(D25:D33)</f>
        <v>428821</v>
      </c>
      <c r="E34" s="1600">
        <f t="shared" si="1"/>
        <v>50000</v>
      </c>
      <c r="F34" s="1600">
        <f t="shared" si="1"/>
        <v>11390</v>
      </c>
      <c r="G34" s="1600">
        <f t="shared" si="1"/>
        <v>0</v>
      </c>
      <c r="H34" s="1600">
        <f t="shared" si="1"/>
        <v>0</v>
      </c>
      <c r="I34" s="1600">
        <f t="shared" si="1"/>
        <v>0</v>
      </c>
      <c r="J34" s="1600">
        <f t="shared" si="1"/>
        <v>23574</v>
      </c>
      <c r="K34" s="1600">
        <f t="shared" si="1"/>
        <v>0</v>
      </c>
      <c r="L34" s="1601">
        <f>SUM(L33)</f>
        <v>200577</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12827000</v>
      </c>
    </row>
    <row r="37" spans="1:14" ht="13.5" thickBot="1" x14ac:dyDescent="0.25">
      <c r="A37" s="1426" t="s">
        <v>648</v>
      </c>
      <c r="B37" s="1429"/>
      <c r="C37" s="1582"/>
      <c r="D37" s="1582"/>
      <c r="E37" s="1582"/>
      <c r="F37" s="1582"/>
      <c r="G37" s="1582"/>
      <c r="H37" s="1582"/>
      <c r="I37" s="1582"/>
      <c r="J37" s="1582"/>
      <c r="K37" s="1582"/>
      <c r="L37" s="1585"/>
      <c r="M37" s="1575"/>
      <c r="N37" s="1594">
        <f>SUM(N36:N36)</f>
        <v>12827000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1044858</v>
      </c>
      <c r="D39" s="1573">
        <v>379049</v>
      </c>
      <c r="E39" s="1573">
        <v>21698</v>
      </c>
      <c r="F39" s="1573">
        <v>415900</v>
      </c>
      <c r="G39" s="1573">
        <v>371586</v>
      </c>
      <c r="H39" s="1573">
        <v>299180</v>
      </c>
      <c r="I39" s="1573">
        <v>2199509</v>
      </c>
      <c r="J39" s="1574">
        <v>61380</v>
      </c>
      <c r="K39" s="1573">
        <v>388180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c r="N40" s="1604"/>
    </row>
    <row r="41" spans="1:14" ht="13.5" customHeight="1" thickBot="1" x14ac:dyDescent="0.25">
      <c r="A41" s="1426" t="s">
        <v>650</v>
      </c>
      <c r="B41" s="1405"/>
      <c r="C41" s="1594">
        <f>(SUM(C34,C37,C38,C39))</f>
        <v>1513599</v>
      </c>
      <c r="D41" s="1594">
        <f t="shared" ref="D41:L41" si="2">SUM(D34,D37,D38:D39)</f>
        <v>807870</v>
      </c>
      <c r="E41" s="1594">
        <f t="shared" si="2"/>
        <v>71698</v>
      </c>
      <c r="F41" s="1594">
        <f t="shared" si="2"/>
        <v>427290</v>
      </c>
      <c r="G41" s="1594">
        <f t="shared" si="2"/>
        <v>371586</v>
      </c>
      <c r="H41" s="1594">
        <f t="shared" si="2"/>
        <v>299180</v>
      </c>
      <c r="I41" s="1594">
        <f t="shared" si="2"/>
        <v>2199509</v>
      </c>
      <c r="J41" s="1594">
        <f t="shared" si="2"/>
        <v>84954</v>
      </c>
      <c r="K41" s="1594">
        <f t="shared" si="2"/>
        <v>388180</v>
      </c>
      <c r="L41" s="1594">
        <f t="shared" si="2"/>
        <v>200577</v>
      </c>
      <c r="M41" s="1594">
        <f>SUM(M40)</f>
        <v>0</v>
      </c>
      <c r="N41" s="1594">
        <f>SUM(N37)</f>
        <v>12827000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6029066</v>
      </c>
      <c r="D4" s="1606">
        <f>'Revenues 9-14'!D109</f>
        <v>1164033</v>
      </c>
      <c r="E4" s="1606">
        <f>'Revenues 9-14'!E109</f>
        <v>2475822</v>
      </c>
      <c r="F4" s="1606">
        <f>'Revenues 9-14'!F109</f>
        <v>469545</v>
      </c>
      <c r="G4" s="1606">
        <f>'Revenues 9-14'!G109</f>
        <v>378316</v>
      </c>
      <c r="H4" s="1606">
        <f>'Revenues 9-14'!H109</f>
        <v>500359</v>
      </c>
      <c r="I4" s="1606">
        <f>'Revenues 9-14'!I109</f>
        <v>123276</v>
      </c>
      <c r="J4" s="1606">
        <f>'Revenues 9-14'!J109</f>
        <v>503901</v>
      </c>
      <c r="K4" s="1606">
        <f>'Revenues 9-14'!K109</f>
        <v>114650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1722763</v>
      </c>
      <c r="D6" s="1607">
        <f>'Revenues 9-14'!D170</f>
        <v>150000</v>
      </c>
      <c r="E6" s="1607">
        <f>'Revenues 9-14'!E170</f>
        <v>0</v>
      </c>
      <c r="F6" s="1607">
        <f>'Revenues 9-14'!F170</f>
        <v>416383</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447731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8199560</v>
      </c>
      <c r="D8" s="1594">
        <f t="shared" ref="D8:K8" si="0">SUM(D4:D7)</f>
        <v>1314033</v>
      </c>
      <c r="E8" s="1594">
        <f t="shared" si="0"/>
        <v>2475822</v>
      </c>
      <c r="F8" s="1594">
        <f t="shared" si="0"/>
        <v>885928</v>
      </c>
      <c r="G8" s="1594">
        <f t="shared" si="0"/>
        <v>378316</v>
      </c>
      <c r="H8" s="1594">
        <f t="shared" si="0"/>
        <v>550359</v>
      </c>
      <c r="I8" s="1594">
        <f t="shared" si="0"/>
        <v>123276</v>
      </c>
      <c r="J8" s="1594">
        <f t="shared" si="0"/>
        <v>503901</v>
      </c>
      <c r="K8" s="1594">
        <f t="shared" si="0"/>
        <v>114650</v>
      </c>
      <c r="L8" s="325"/>
    </row>
    <row r="9" spans="1:13" ht="15.75" thickTop="1" x14ac:dyDescent="0.2">
      <c r="A9" s="449" t="s">
        <v>1634</v>
      </c>
      <c r="B9" s="450">
        <v>3998</v>
      </c>
      <c r="C9" s="1586">
        <v>3843996</v>
      </c>
      <c r="D9" s="1613"/>
      <c r="E9" s="1586"/>
      <c r="F9" s="1586"/>
      <c r="G9" s="1614"/>
      <c r="H9" s="1586"/>
      <c r="I9" s="1609" t="s">
        <v>1159</v>
      </c>
      <c r="J9" s="1583"/>
      <c r="K9" s="1586"/>
      <c r="L9" s="325"/>
    </row>
    <row r="10" spans="1:13" s="452" customFormat="1" ht="13.5" thickBot="1" x14ac:dyDescent="0.25">
      <c r="A10" s="1426" t="s">
        <v>1163</v>
      </c>
      <c r="B10" s="1407"/>
      <c r="C10" s="1594">
        <f>SUM(C8:C9)</f>
        <v>12043556</v>
      </c>
      <c r="D10" s="1594">
        <f t="shared" ref="D10:K10" si="1">SUM(D8:D9)</f>
        <v>1314033</v>
      </c>
      <c r="E10" s="1594">
        <f t="shared" si="1"/>
        <v>2475822</v>
      </c>
      <c r="F10" s="1594">
        <f t="shared" si="1"/>
        <v>885928</v>
      </c>
      <c r="G10" s="1594">
        <f t="shared" si="1"/>
        <v>378316</v>
      </c>
      <c r="H10" s="1594">
        <f t="shared" si="1"/>
        <v>550359</v>
      </c>
      <c r="I10" s="1594">
        <f t="shared" si="1"/>
        <v>123276</v>
      </c>
      <c r="J10" s="1594">
        <f t="shared" si="1"/>
        <v>503901</v>
      </c>
      <c r="K10" s="1594">
        <f t="shared" si="1"/>
        <v>114650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5698455</v>
      </c>
      <c r="D12" s="1616" t="s">
        <v>1159</v>
      </c>
      <c r="E12" s="1575" t="s">
        <v>1159</v>
      </c>
      <c r="F12" s="1575" t="s">
        <v>1159</v>
      </c>
      <c r="G12" s="1606">
        <f>'Expenditures 15-22'!K229</f>
        <v>109618</v>
      </c>
      <c r="H12" s="1617"/>
      <c r="I12" s="1575" t="s">
        <v>1159</v>
      </c>
      <c r="J12" s="1575" t="s">
        <v>1159</v>
      </c>
      <c r="K12" s="1617" t="s">
        <v>1159</v>
      </c>
      <c r="L12" s="325"/>
    </row>
    <row r="13" spans="1:13" ht="15.75" customHeight="1" x14ac:dyDescent="0.2">
      <c r="A13" s="1314" t="s">
        <v>454</v>
      </c>
      <c r="B13" s="1316">
        <v>2000</v>
      </c>
      <c r="C13" s="1607">
        <f>'Expenditures 15-22'!K74</f>
        <v>1570842</v>
      </c>
      <c r="D13" s="1607">
        <f>'Expenditures 15-22'!K129</f>
        <v>1485302</v>
      </c>
      <c r="E13" s="1576" t="s">
        <v>1159</v>
      </c>
      <c r="F13" s="1607">
        <f>'Expenditures 15-22'!K184</f>
        <v>742991</v>
      </c>
      <c r="G13" s="1607">
        <f>'Expenditures 15-22'!K279</f>
        <v>224387</v>
      </c>
      <c r="H13" s="1607">
        <f>'Expenditures 15-22'!K303</f>
        <v>357761</v>
      </c>
      <c r="I13" s="1575" t="s">
        <v>1159</v>
      </c>
      <c r="J13" s="1607">
        <f>'Expenditures 15-22'!K330</f>
        <v>473969</v>
      </c>
      <c r="K13" s="1618">
        <f>'Expenditures 15-22'!K352</f>
        <v>3111</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537917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2920940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7807214</v>
      </c>
      <c r="D17" s="1594">
        <f t="shared" si="2"/>
        <v>1485302</v>
      </c>
      <c r="E17" s="1594">
        <f t="shared" si="2"/>
        <v>2920940</v>
      </c>
      <c r="F17" s="1594">
        <f t="shared" si="2"/>
        <v>742991</v>
      </c>
      <c r="G17" s="1594">
        <f t="shared" si="2"/>
        <v>334005</v>
      </c>
      <c r="H17" s="1594">
        <f t="shared" si="2"/>
        <v>357761</v>
      </c>
      <c r="I17" s="1575"/>
      <c r="J17" s="1594">
        <f>SUM(J12:J16)</f>
        <v>473969</v>
      </c>
      <c r="K17" s="1594">
        <f>SUM(K12:K16)</f>
        <v>3111</v>
      </c>
      <c r="L17" s="325"/>
    </row>
    <row r="18" spans="1:12" ht="15" customHeight="1" thickTop="1" x14ac:dyDescent="0.2">
      <c r="A18" s="1430" t="s">
        <v>1635</v>
      </c>
      <c r="B18" s="1431">
        <v>4180</v>
      </c>
      <c r="C18" s="1606">
        <f t="shared" ref="C18:H18" si="3">C9</f>
        <v>3843996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11651210</v>
      </c>
      <c r="D19" s="1594">
        <f t="shared" si="4"/>
        <v>1485302</v>
      </c>
      <c r="E19" s="1594">
        <f t="shared" si="4"/>
        <v>2920940</v>
      </c>
      <c r="F19" s="1594">
        <f t="shared" si="4"/>
        <v>742991</v>
      </c>
      <c r="G19" s="1594">
        <f t="shared" si="4"/>
        <v>334005</v>
      </c>
      <c r="H19" s="1594">
        <f t="shared" si="4"/>
        <v>357761</v>
      </c>
      <c r="I19" s="1575"/>
      <c r="J19" s="1594">
        <f>SUM(J17:J18)</f>
        <v>473969</v>
      </c>
      <c r="K19" s="1594">
        <f>SUM(K17:K18)</f>
        <v>3111</v>
      </c>
      <c r="L19" s="325"/>
    </row>
    <row r="20" spans="1:12" ht="16.5" thickTop="1" thickBot="1" x14ac:dyDescent="0.25">
      <c r="A20" s="2232" t="s">
        <v>1636</v>
      </c>
      <c r="B20" s="2233"/>
      <c r="C20" s="1622">
        <f>C8-C17</f>
        <v>392346</v>
      </c>
      <c r="D20" s="1622">
        <f t="shared" ref="D20:K20" si="5">D8-D17</f>
        <v>-171269</v>
      </c>
      <c r="E20" s="1622">
        <f t="shared" si="5"/>
        <v>-445118</v>
      </c>
      <c r="F20" s="1622">
        <f t="shared" si="5"/>
        <v>142937</v>
      </c>
      <c r="G20" s="1622">
        <f t="shared" si="5"/>
        <v>44311</v>
      </c>
      <c r="H20" s="1622">
        <f t="shared" si="5"/>
        <v>192598</v>
      </c>
      <c r="I20" s="1622">
        <f t="shared" si="5"/>
        <v>123276</v>
      </c>
      <c r="J20" s="1622">
        <f t="shared" si="5"/>
        <v>29932</v>
      </c>
      <c r="K20" s="1622">
        <f t="shared" si="5"/>
        <v>111539</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v>275000</v>
      </c>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275000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v>275000</v>
      </c>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275000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275000</v>
      </c>
      <c r="F77" s="1624">
        <f t="shared" si="8"/>
        <v>0</v>
      </c>
      <c r="G77" s="1624">
        <f t="shared" si="8"/>
        <v>0</v>
      </c>
      <c r="H77" s="1624">
        <f t="shared" si="8"/>
        <v>-275000</v>
      </c>
      <c r="I77" s="1624">
        <f t="shared" si="8"/>
        <v>0</v>
      </c>
      <c r="J77" s="1624">
        <f t="shared" si="8"/>
        <v>0</v>
      </c>
      <c r="K77" s="1624">
        <f t="shared" si="8"/>
        <v>0</v>
      </c>
      <c r="L77" s="325"/>
    </row>
    <row r="78" spans="1:12" ht="21.75" customHeight="1" thickTop="1" thickBot="1" x14ac:dyDescent="0.25">
      <c r="A78" s="2228" t="s">
        <v>593</v>
      </c>
      <c r="B78" s="2229"/>
      <c r="C78" s="1629">
        <f t="shared" ref="C78:K78" si="9">C20+C77</f>
        <v>392346</v>
      </c>
      <c r="D78" s="1629">
        <f t="shared" si="9"/>
        <v>-171269</v>
      </c>
      <c r="E78" s="1629">
        <f t="shared" si="9"/>
        <v>-170118</v>
      </c>
      <c r="F78" s="1629">
        <f t="shared" si="9"/>
        <v>142937</v>
      </c>
      <c r="G78" s="1629">
        <f t="shared" si="9"/>
        <v>44311</v>
      </c>
      <c r="H78" s="1629">
        <f t="shared" si="9"/>
        <v>-82402</v>
      </c>
      <c r="I78" s="1629">
        <f t="shared" si="9"/>
        <v>123276</v>
      </c>
      <c r="J78" s="1629">
        <f t="shared" si="9"/>
        <v>29932</v>
      </c>
      <c r="K78" s="1629">
        <f t="shared" si="9"/>
        <v>111539</v>
      </c>
      <c r="L78" s="457"/>
    </row>
    <row r="79" spans="1:12" ht="13.5" thickTop="1" x14ac:dyDescent="0.2">
      <c r="A79" s="1844" t="str">
        <f>"Fund Balances - July 1, "&amp;'AFR20'!E2-1</f>
        <v>Fund Balances - July 1, 2019</v>
      </c>
      <c r="B79" s="458"/>
      <c r="C79" s="1583">
        <v>652512</v>
      </c>
      <c r="D79" s="1630">
        <v>550318</v>
      </c>
      <c r="E79" s="1630">
        <v>191816</v>
      </c>
      <c r="F79" s="1630">
        <v>272963</v>
      </c>
      <c r="G79" s="1630">
        <v>327275</v>
      </c>
      <c r="H79" s="1630">
        <v>381582</v>
      </c>
      <c r="I79" s="1630">
        <v>2076233</v>
      </c>
      <c r="J79" s="1630">
        <v>31448</v>
      </c>
      <c r="K79" s="1630">
        <v>276641</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1044858</v>
      </c>
      <c r="D81" s="1594">
        <f>SUM(D78:D80)</f>
        <v>379049</v>
      </c>
      <c r="E81" s="1594">
        <f t="shared" ref="E81:K81" si="10">SUM(E78:E80)</f>
        <v>21698</v>
      </c>
      <c r="F81" s="1594">
        <f t="shared" si="10"/>
        <v>415900</v>
      </c>
      <c r="G81" s="1594">
        <f t="shared" si="10"/>
        <v>371586</v>
      </c>
      <c r="H81" s="1594">
        <f t="shared" si="10"/>
        <v>299180</v>
      </c>
      <c r="I81" s="1594">
        <f t="shared" si="10"/>
        <v>2199509</v>
      </c>
      <c r="J81" s="1594">
        <f t="shared" si="10"/>
        <v>61380</v>
      </c>
      <c r="K81" s="1594">
        <f t="shared" si="10"/>
        <v>388180</v>
      </c>
      <c r="L81" s="325"/>
    </row>
    <row r="82" spans="1:12" ht="0.75" customHeight="1" thickTop="1" thickBot="1" x14ac:dyDescent="0.25">
      <c r="A82" s="459" t="s">
        <v>340</v>
      </c>
      <c r="B82" s="460"/>
      <c r="C82" s="461">
        <f>(C81-C79)</f>
        <v>392346</v>
      </c>
      <c r="D82" s="461">
        <f t="shared" ref="D82:K82" si="11">(D81-D79)</f>
        <v>-171269</v>
      </c>
      <c r="E82" s="461">
        <f t="shared" si="11"/>
        <v>-170118</v>
      </c>
      <c r="F82" s="461">
        <f t="shared" si="11"/>
        <v>142937</v>
      </c>
      <c r="G82" s="461">
        <f t="shared" si="11"/>
        <v>44311</v>
      </c>
      <c r="H82" s="461">
        <f t="shared" si="11"/>
        <v>-82402</v>
      </c>
      <c r="I82" s="461">
        <f t="shared" si="11"/>
        <v>123276</v>
      </c>
      <c r="J82" s="461">
        <f t="shared" si="11"/>
        <v>29932</v>
      </c>
      <c r="K82" s="461">
        <f t="shared" si="11"/>
        <v>111539</v>
      </c>
    </row>
    <row r="83" spans="1:12" ht="14.25" hidden="1" thickTop="1" thickBot="1" x14ac:dyDescent="0.25">
      <c r="A83" s="462" t="s">
        <v>341</v>
      </c>
      <c r="B83" s="428"/>
      <c r="C83" s="463">
        <f>C82/C81</f>
        <v>0.37550174282055554</v>
      </c>
      <c r="D83" s="463">
        <f t="shared" ref="D83:K83" si="12">D82/D81</f>
        <v>-0.45183868048721931</v>
      </c>
      <c r="E83" s="463">
        <f t="shared" si="12"/>
        <v>-7.8402617752788277</v>
      </c>
      <c r="F83" s="463">
        <f t="shared" si="12"/>
        <v>0.34368117335898052</v>
      </c>
      <c r="G83" s="463">
        <f t="shared" si="12"/>
        <v>0.11924830321917403</v>
      </c>
      <c r="H83" s="463">
        <f t="shared" si="12"/>
        <v>-0.27542616485059163</v>
      </c>
      <c r="I83" s="463">
        <f t="shared" si="12"/>
        <v>5.6047054137991707E-2</v>
      </c>
      <c r="J83" s="463">
        <f t="shared" si="12"/>
        <v>0.48765070055392634</v>
      </c>
      <c r="K83" s="463">
        <f t="shared" si="12"/>
        <v>0.28733834818898452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5" activePane="bottomLeft" state="frozen"/>
      <selection pane="bottomLeft" activeCell="C101" sqref="C10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5206841</v>
      </c>
      <c r="D5" s="1586">
        <v>1131924</v>
      </c>
      <c r="E5" s="1573">
        <v>1264806</v>
      </c>
      <c r="F5" s="1631">
        <v>452769</v>
      </c>
      <c r="G5" s="1573">
        <v>131825</v>
      </c>
      <c r="H5" s="1573"/>
      <c r="I5" s="1573">
        <v>113193</v>
      </c>
      <c r="J5" s="1574">
        <v>499265</v>
      </c>
      <c r="K5" s="1573">
        <v>113193</v>
      </c>
    </row>
    <row r="6" spans="1:12" ht="15" x14ac:dyDescent="0.2">
      <c r="A6" s="427" t="s">
        <v>1643</v>
      </c>
      <c r="B6" s="429">
        <v>1130</v>
      </c>
      <c r="C6" s="1573">
        <v>113193</v>
      </c>
      <c r="D6" s="1573"/>
      <c r="E6" s="1580"/>
      <c r="F6" s="1580"/>
      <c r="G6" s="1575"/>
      <c r="H6" s="1575"/>
      <c r="I6" s="1575"/>
      <c r="J6" s="1575"/>
      <c r="K6" s="1575"/>
    </row>
    <row r="7" spans="1:12" x14ac:dyDescent="0.2">
      <c r="A7" s="427" t="s">
        <v>110</v>
      </c>
      <c r="B7" s="471">
        <v>1140</v>
      </c>
      <c r="C7" s="1573">
        <v>90552</v>
      </c>
      <c r="D7" s="1573"/>
      <c r="E7" s="1575"/>
      <c r="F7" s="1574"/>
      <c r="G7" s="1574"/>
      <c r="H7" s="1574"/>
      <c r="I7" s="1575"/>
      <c r="J7" s="1575"/>
      <c r="K7" s="1575"/>
    </row>
    <row r="8" spans="1:12" x14ac:dyDescent="0.2">
      <c r="A8" s="427" t="s">
        <v>410</v>
      </c>
      <c r="B8" s="429">
        <v>1150</v>
      </c>
      <c r="C8" s="1580"/>
      <c r="D8" s="1580"/>
      <c r="E8" s="1582"/>
      <c r="F8" s="1582"/>
      <c r="G8" s="1586">
        <v>239650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5410586</v>
      </c>
      <c r="D12" s="1633">
        <f t="shared" si="0"/>
        <v>1131924</v>
      </c>
      <c r="E12" s="1633">
        <f t="shared" si="0"/>
        <v>1264806</v>
      </c>
      <c r="F12" s="1633">
        <f t="shared" si="0"/>
        <v>452769</v>
      </c>
      <c r="G12" s="1633">
        <f t="shared" si="0"/>
        <v>371475</v>
      </c>
      <c r="H12" s="1633">
        <f t="shared" si="0"/>
        <v>0</v>
      </c>
      <c r="I12" s="1633">
        <f t="shared" si="0"/>
        <v>113193</v>
      </c>
      <c r="J12" s="1633">
        <f t="shared" si="0"/>
        <v>499265</v>
      </c>
      <c r="K12" s="1594">
        <f t="shared" si="0"/>
        <v>113193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102936</v>
      </c>
      <c r="D16" s="1573"/>
      <c r="E16" s="1573"/>
      <c r="F16" s="1573"/>
      <c r="G16" s="1573">
        <v>1500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102936</v>
      </c>
      <c r="D18" s="1635">
        <f t="shared" ref="D18:K18" si="1">SUM(D14:D17)</f>
        <v>0</v>
      </c>
      <c r="E18" s="1635">
        <f t="shared" si="1"/>
        <v>0</v>
      </c>
      <c r="F18" s="1635">
        <f t="shared" si="1"/>
        <v>0</v>
      </c>
      <c r="G18" s="1635">
        <f t="shared" si="1"/>
        <v>1500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8278</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8278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39851</v>
      </c>
      <c r="D65" s="1573">
        <v>4969</v>
      </c>
      <c r="E65" s="1573">
        <v>6350</v>
      </c>
      <c r="F65" s="1574">
        <v>4792</v>
      </c>
      <c r="G65" s="1573">
        <v>5341</v>
      </c>
      <c r="H65" s="1573">
        <v>1496</v>
      </c>
      <c r="I65" s="1573">
        <v>10083</v>
      </c>
      <c r="J65" s="1574">
        <v>4636</v>
      </c>
      <c r="K65" s="1573">
        <v>1457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39851</v>
      </c>
      <c r="D67" s="1594">
        <f t="shared" ref="D67:K67" si="2">SUM(D65:D66)</f>
        <v>4969</v>
      </c>
      <c r="E67" s="1594">
        <f t="shared" si="2"/>
        <v>6350</v>
      </c>
      <c r="F67" s="1594">
        <f t="shared" si="2"/>
        <v>4792</v>
      </c>
      <c r="G67" s="1594">
        <f t="shared" si="2"/>
        <v>5341</v>
      </c>
      <c r="H67" s="1594">
        <f t="shared" si="2"/>
        <v>1496</v>
      </c>
      <c r="I67" s="1594">
        <f t="shared" si="2"/>
        <v>10083</v>
      </c>
      <c r="J67" s="1594">
        <f t="shared" si="2"/>
        <v>4636</v>
      </c>
      <c r="K67" s="1594">
        <f t="shared" si="2"/>
        <v>1457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148076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40305</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1369</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189750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28288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50845</v>
      </c>
      <c r="D79" s="1573">
        <v>2140</v>
      </c>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79133</v>
      </c>
      <c r="D82" s="1594">
        <f>SUM(D77:D81)</f>
        <v>2140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93390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93390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v>24434</v>
      </c>
      <c r="I100" s="1574"/>
      <c r="J100" s="1598"/>
      <c r="K100" s="1574"/>
    </row>
    <row r="101" spans="1:12" ht="12.75" customHeight="1" x14ac:dyDescent="0.2">
      <c r="A101" s="427" t="s">
        <v>244</v>
      </c>
      <c r="B101" s="429">
        <v>1970</v>
      </c>
      <c r="C101" s="1598">
        <v>10440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233674</v>
      </c>
      <c r="F103" s="1575"/>
      <c r="G103" s="1575"/>
      <c r="H103" s="1598">
        <v>474429</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94702</v>
      </c>
      <c r="D106" s="1598"/>
      <c r="E106" s="1574"/>
      <c r="F106" s="1574"/>
      <c r="G106" s="1574"/>
      <c r="H106" s="1574"/>
      <c r="I106" s="1617"/>
      <c r="J106" s="1574"/>
      <c r="K106" s="1574"/>
    </row>
    <row r="107" spans="1:12" ht="12.75" customHeight="1" x14ac:dyDescent="0.2">
      <c r="A107" s="427" t="s">
        <v>78</v>
      </c>
      <c r="B107" s="429">
        <v>1999</v>
      </c>
      <c r="C107" s="1632"/>
      <c r="D107" s="1573">
        <v>25000</v>
      </c>
      <c r="E107" s="1573">
        <v>970992</v>
      </c>
      <c r="F107" s="1573">
        <v>11984</v>
      </c>
      <c r="G107" s="1573"/>
      <c r="H107" s="1573"/>
      <c r="I107" s="1573"/>
      <c r="J107" s="1574"/>
      <c r="K107" s="1573"/>
    </row>
    <row r="108" spans="1:12" ht="12.75" customHeight="1" thickBot="1" x14ac:dyDescent="0.25">
      <c r="A108" s="1406" t="s">
        <v>484</v>
      </c>
      <c r="B108" s="1408"/>
      <c r="C108" s="1633">
        <f>SUM(C95:C107)</f>
        <v>105142</v>
      </c>
      <c r="D108" s="1633">
        <f t="shared" ref="D108:K108" si="3">SUM(D95:D107)</f>
        <v>25000</v>
      </c>
      <c r="E108" s="1633">
        <f t="shared" si="3"/>
        <v>1204666</v>
      </c>
      <c r="F108" s="1633">
        <f t="shared" si="3"/>
        <v>11984</v>
      </c>
      <c r="G108" s="1633">
        <f t="shared" si="3"/>
        <v>0</v>
      </c>
      <c r="H108" s="1633">
        <f t="shared" si="3"/>
        <v>498863</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6029066</v>
      </c>
      <c r="D109" s="1641">
        <f t="shared" si="4"/>
        <v>1164033</v>
      </c>
      <c r="E109" s="1641">
        <f t="shared" si="4"/>
        <v>2475822</v>
      </c>
      <c r="F109" s="1641">
        <f t="shared" si="4"/>
        <v>469545</v>
      </c>
      <c r="G109" s="1641">
        <f t="shared" si="4"/>
        <v>378316</v>
      </c>
      <c r="H109" s="1641">
        <f t="shared" si="4"/>
        <v>500359</v>
      </c>
      <c r="I109" s="1641">
        <f t="shared" si="4"/>
        <v>123276</v>
      </c>
      <c r="J109" s="1641">
        <f t="shared" si="4"/>
        <v>503901</v>
      </c>
      <c r="K109" s="1629">
        <f t="shared" si="4"/>
        <v>114650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1453531</v>
      </c>
      <c r="D117" s="1586">
        <v>150000</v>
      </c>
      <c r="E117" s="1573"/>
      <c r="F117" s="1586">
        <v>23978</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1453531</v>
      </c>
      <c r="D122" s="1633">
        <f t="shared" si="5"/>
        <v>150000</v>
      </c>
      <c r="E122" s="1633">
        <f t="shared" si="5"/>
        <v>0</v>
      </c>
      <c r="F122" s="1633">
        <f t="shared" si="5"/>
        <v>23978</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14741</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14741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4510</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4510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590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10710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295070</v>
      </c>
      <c r="G152" s="1574"/>
      <c r="H152" s="1575"/>
      <c r="I152" s="1575"/>
      <c r="J152" s="1575"/>
      <c r="K152" s="1575"/>
    </row>
    <row r="153" spans="1:11" ht="12.75" customHeight="1" x14ac:dyDescent="0.2">
      <c r="A153" s="427" t="s">
        <v>1048</v>
      </c>
      <c r="B153" s="478">
        <v>3510</v>
      </c>
      <c r="C153" s="1632"/>
      <c r="D153" s="1573"/>
      <c r="E153" s="1640"/>
      <c r="F153" s="1573">
        <v>97335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392405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238681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269232</v>
      </c>
      <c r="D169" s="1658">
        <f t="shared" si="6"/>
        <v>0</v>
      </c>
      <c r="E169" s="1658">
        <f t="shared" si="6"/>
        <v>0</v>
      </c>
      <c r="F169" s="1658">
        <f t="shared" si="6"/>
        <v>392405</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1722763</v>
      </c>
      <c r="D170" s="1641">
        <f t="shared" si="7"/>
        <v>150000</v>
      </c>
      <c r="E170" s="1641">
        <f t="shared" si="7"/>
        <v>0</v>
      </c>
      <c r="F170" s="1641">
        <f t="shared" si="7"/>
        <v>416383</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56411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11498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67909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120437</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21733</v>
      </c>
      <c r="D203" s="1573"/>
      <c r="E203" s="1575"/>
      <c r="F203" s="1573"/>
      <c r="G203" s="1573"/>
      <c r="H203" s="1575"/>
      <c r="I203" s="1575"/>
      <c r="J203" s="1575"/>
      <c r="K203" s="1575"/>
    </row>
    <row r="204" spans="1:11" ht="12.75" customHeight="1" thickBot="1" x14ac:dyDescent="0.25">
      <c r="A204" s="1406" t="s">
        <v>397</v>
      </c>
      <c r="B204" s="1407"/>
      <c r="C204" s="1633">
        <f>SUM(C200:C203)</f>
        <v>142170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10862</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10862</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2288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192864</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195152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26584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5054</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447731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447731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8199560</v>
      </c>
      <c r="D268" s="1641">
        <f t="shared" si="12"/>
        <v>1314033</v>
      </c>
      <c r="E268" s="1641">
        <f t="shared" si="12"/>
        <v>2475822</v>
      </c>
      <c r="F268" s="1641">
        <f t="shared" si="12"/>
        <v>885928</v>
      </c>
      <c r="G268" s="1641">
        <f t="shared" si="12"/>
        <v>378316</v>
      </c>
      <c r="H268" s="1641">
        <f t="shared" si="12"/>
        <v>550359</v>
      </c>
      <c r="I268" s="1641">
        <f t="shared" si="12"/>
        <v>123276</v>
      </c>
      <c r="J268" s="1641">
        <f t="shared" si="12"/>
        <v>503901</v>
      </c>
      <c r="K268" s="1629">
        <f t="shared" si="12"/>
        <v>114650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8" activePane="bottomLeft" state="frozen"/>
      <selection pane="bottomLeft" activeCell="G302" sqref="G30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3936939</v>
      </c>
      <c r="D5" s="1573">
        <v>952083</v>
      </c>
      <c r="E5" s="1573">
        <v>1796</v>
      </c>
      <c r="F5" s="1573">
        <v>125006</v>
      </c>
      <c r="G5" s="1573"/>
      <c r="H5" s="1573"/>
      <c r="I5" s="1574"/>
      <c r="J5" s="1574"/>
      <c r="K5" s="1672">
        <f>SUM(C5:J5)</f>
        <v>5015824</v>
      </c>
      <c r="L5" s="1573">
        <v>4453150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55058</v>
      </c>
      <c r="D7" s="1574">
        <v>7987</v>
      </c>
      <c r="E7" s="1574">
        <v>569</v>
      </c>
      <c r="F7" s="1574">
        <v>12564</v>
      </c>
      <c r="G7" s="1574">
        <v>30429</v>
      </c>
      <c r="H7" s="1574"/>
      <c r="I7" s="1574"/>
      <c r="J7" s="1574"/>
      <c r="K7" s="1672">
        <f t="shared" ref="K7:K32" si="0">SUM(C7:J7)</f>
        <v>106607</v>
      </c>
      <c r="L7" s="1573">
        <v>158800</v>
      </c>
    </row>
    <row r="8" spans="1:14" x14ac:dyDescent="0.2">
      <c r="A8" s="1274" t="s">
        <v>163</v>
      </c>
      <c r="B8" s="503">
        <v>1200</v>
      </c>
      <c r="C8" s="1573">
        <v>53839</v>
      </c>
      <c r="D8" s="1573">
        <v>6078</v>
      </c>
      <c r="E8" s="1573"/>
      <c r="F8" s="1573"/>
      <c r="G8" s="1573"/>
      <c r="H8" s="1573"/>
      <c r="I8" s="1574"/>
      <c r="J8" s="1574"/>
      <c r="K8" s="1672">
        <f t="shared" si="0"/>
        <v>59917</v>
      </c>
      <c r="L8" s="1573">
        <v>406100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88159</v>
      </c>
      <c r="D10" s="1573">
        <v>19064</v>
      </c>
      <c r="E10" s="1573"/>
      <c r="F10" s="1573">
        <v>7760</v>
      </c>
      <c r="G10" s="1573"/>
      <c r="H10" s="1573"/>
      <c r="I10" s="1574"/>
      <c r="J10" s="1574"/>
      <c r="K10" s="1672">
        <f t="shared" si="0"/>
        <v>114983</v>
      </c>
      <c r="L10" s="1573">
        <v>109400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106612</v>
      </c>
      <c r="D13" s="1573">
        <v>26279</v>
      </c>
      <c r="E13" s="1573">
        <v>5578</v>
      </c>
      <c r="F13" s="1573">
        <v>4837</v>
      </c>
      <c r="G13" s="1573">
        <v>28709</v>
      </c>
      <c r="H13" s="1573"/>
      <c r="I13" s="1574"/>
      <c r="J13" s="1574"/>
      <c r="K13" s="1672">
        <f t="shared" si="0"/>
        <v>172015</v>
      </c>
      <c r="L13" s="1573">
        <v>138900</v>
      </c>
    </row>
    <row r="14" spans="1:14" x14ac:dyDescent="0.2">
      <c r="A14" s="1274" t="s">
        <v>957</v>
      </c>
      <c r="B14" s="503">
        <v>1500</v>
      </c>
      <c r="C14" s="1573">
        <v>147110</v>
      </c>
      <c r="D14" s="1573">
        <v>14321</v>
      </c>
      <c r="E14" s="1573">
        <v>18613</v>
      </c>
      <c r="F14" s="1573">
        <v>24654</v>
      </c>
      <c r="G14" s="1573"/>
      <c r="H14" s="1573">
        <v>10295</v>
      </c>
      <c r="I14" s="1574"/>
      <c r="J14" s="1574"/>
      <c r="K14" s="1672">
        <f t="shared" si="0"/>
        <v>214993</v>
      </c>
      <c r="L14" s="1573">
        <v>238100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9126</v>
      </c>
      <c r="D17" s="1574">
        <v>1148</v>
      </c>
      <c r="E17" s="1574">
        <v>3516</v>
      </c>
      <c r="F17" s="1574">
        <v>326</v>
      </c>
      <c r="G17" s="1574"/>
      <c r="H17" s="1574"/>
      <c r="I17" s="1574"/>
      <c r="J17" s="1574"/>
      <c r="K17" s="1672">
        <f t="shared" si="0"/>
        <v>14116</v>
      </c>
      <c r="L17" s="1573">
        <v>92800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4396843</v>
      </c>
      <c r="D33" s="1674">
        <f t="shared" ref="D33:L33" si="1">SUM(D5:D32)</f>
        <v>1026960</v>
      </c>
      <c r="E33" s="1674">
        <f t="shared" si="1"/>
        <v>30072</v>
      </c>
      <c r="F33" s="1674">
        <f t="shared" si="1"/>
        <v>175147</v>
      </c>
      <c r="G33" s="1674">
        <f t="shared" si="1"/>
        <v>59138</v>
      </c>
      <c r="H33" s="1674">
        <f t="shared" si="1"/>
        <v>10295</v>
      </c>
      <c r="I33" s="1674">
        <f t="shared" si="1"/>
        <v>0</v>
      </c>
      <c r="J33" s="1674">
        <f t="shared" si="1"/>
        <v>0</v>
      </c>
      <c r="K33" s="1674">
        <f t="shared" si="1"/>
        <v>5698455</v>
      </c>
      <c r="L33" s="1674">
        <f t="shared" si="1"/>
        <v>5597250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23193</v>
      </c>
      <c r="D36" s="1586">
        <v>3251</v>
      </c>
      <c r="E36" s="1586"/>
      <c r="F36" s="1586"/>
      <c r="G36" s="1586"/>
      <c r="H36" s="1586"/>
      <c r="I36" s="1574"/>
      <c r="J36" s="1574"/>
      <c r="K36" s="1672">
        <f t="shared" ref="K36:K41" si="2">SUM(C36:J36)</f>
        <v>26444</v>
      </c>
      <c r="L36" s="1573">
        <v>132500</v>
      </c>
    </row>
    <row r="37" spans="1:14" x14ac:dyDescent="0.2">
      <c r="A37" s="1274" t="s">
        <v>1081</v>
      </c>
      <c r="B37" s="503">
        <v>2120</v>
      </c>
      <c r="C37" s="1573">
        <v>12369</v>
      </c>
      <c r="D37" s="1573">
        <v>1004</v>
      </c>
      <c r="E37" s="1573"/>
      <c r="F37" s="1573"/>
      <c r="G37" s="1573"/>
      <c r="H37" s="1573"/>
      <c r="I37" s="1574"/>
      <c r="J37" s="1574"/>
      <c r="K37" s="1672">
        <f t="shared" si="2"/>
        <v>13373</v>
      </c>
      <c r="L37" s="1573">
        <v>92400</v>
      </c>
    </row>
    <row r="38" spans="1:14" x14ac:dyDescent="0.2">
      <c r="A38" s="1274" t="s">
        <v>196</v>
      </c>
      <c r="B38" s="503">
        <v>2130</v>
      </c>
      <c r="C38" s="1573">
        <v>17189</v>
      </c>
      <c r="D38" s="1573">
        <v>4685</v>
      </c>
      <c r="E38" s="1573">
        <v>27662</v>
      </c>
      <c r="F38" s="1573">
        <v>4391</v>
      </c>
      <c r="G38" s="1573"/>
      <c r="H38" s="1573"/>
      <c r="I38" s="1574"/>
      <c r="J38" s="1574"/>
      <c r="K38" s="1672">
        <f t="shared" si="2"/>
        <v>53927</v>
      </c>
      <c r="L38" s="1573">
        <v>44700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11713</v>
      </c>
      <c r="D40" s="1573">
        <v>1094</v>
      </c>
      <c r="E40" s="1573"/>
      <c r="F40" s="1573"/>
      <c r="G40" s="1573"/>
      <c r="H40" s="1573"/>
      <c r="I40" s="1574"/>
      <c r="J40" s="1574"/>
      <c r="K40" s="1672">
        <f t="shared" si="2"/>
        <v>12807</v>
      </c>
      <c r="L40" s="1573">
        <v>88100</v>
      </c>
    </row>
    <row r="41" spans="1:14" x14ac:dyDescent="0.2">
      <c r="A41" s="1274" t="s">
        <v>1650</v>
      </c>
      <c r="B41" s="503">
        <v>2190</v>
      </c>
      <c r="C41" s="1573">
        <v>9954</v>
      </c>
      <c r="D41" s="1573">
        <v>3050</v>
      </c>
      <c r="E41" s="1573">
        <v>1014</v>
      </c>
      <c r="F41" s="1573"/>
      <c r="G41" s="1573"/>
      <c r="H41" s="1573"/>
      <c r="I41" s="1574"/>
      <c r="J41" s="1574"/>
      <c r="K41" s="1672">
        <f t="shared" si="2"/>
        <v>14018</v>
      </c>
      <c r="L41" s="1573"/>
    </row>
    <row r="42" spans="1:14" ht="12.75" customHeight="1" thickBot="1" x14ac:dyDescent="0.25">
      <c r="A42" s="1380" t="s">
        <v>556</v>
      </c>
      <c r="B42" s="1381" t="s">
        <v>711</v>
      </c>
      <c r="C42" s="1674">
        <f>SUM(C36:C41)</f>
        <v>74418</v>
      </c>
      <c r="D42" s="1674">
        <f t="shared" ref="D42:L42" si="3">SUM(D36:D41)</f>
        <v>13084</v>
      </c>
      <c r="E42" s="1674">
        <f t="shared" si="3"/>
        <v>28676</v>
      </c>
      <c r="F42" s="1674">
        <f t="shared" si="3"/>
        <v>4391</v>
      </c>
      <c r="G42" s="1674">
        <f t="shared" si="3"/>
        <v>0</v>
      </c>
      <c r="H42" s="1674">
        <f t="shared" si="3"/>
        <v>0</v>
      </c>
      <c r="I42" s="1674">
        <f t="shared" si="3"/>
        <v>0</v>
      </c>
      <c r="J42" s="1674">
        <f t="shared" si="3"/>
        <v>0</v>
      </c>
      <c r="K42" s="1674">
        <f t="shared" si="3"/>
        <v>120569</v>
      </c>
      <c r="L42" s="1674">
        <f t="shared" si="3"/>
        <v>357700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900</v>
      </c>
      <c r="D44" s="1586"/>
      <c r="E44" s="1586">
        <v>16759</v>
      </c>
      <c r="F44" s="1586">
        <v>10565</v>
      </c>
      <c r="G44" s="1586"/>
      <c r="H44" s="1586"/>
      <c r="I44" s="1574"/>
      <c r="J44" s="1574"/>
      <c r="K44" s="1678">
        <f>SUM(C44:J44)</f>
        <v>28224</v>
      </c>
      <c r="L44" s="1586">
        <v>37000</v>
      </c>
    </row>
    <row r="45" spans="1:14" x14ac:dyDescent="0.2">
      <c r="A45" s="1274" t="s">
        <v>810</v>
      </c>
      <c r="B45" s="503">
        <v>2220</v>
      </c>
      <c r="C45" s="1573">
        <v>12451</v>
      </c>
      <c r="D45" s="1573"/>
      <c r="E45" s="1573">
        <v>2550</v>
      </c>
      <c r="F45" s="1573">
        <v>5315</v>
      </c>
      <c r="G45" s="1573"/>
      <c r="H45" s="1573"/>
      <c r="I45" s="1574"/>
      <c r="J45" s="1574"/>
      <c r="K45" s="1678">
        <f>SUM(C45:J45)</f>
        <v>20316</v>
      </c>
      <c r="L45" s="1573">
        <v>13900</v>
      </c>
    </row>
    <row r="46" spans="1:14" x14ac:dyDescent="0.2">
      <c r="A46" s="1274" t="s">
        <v>811</v>
      </c>
      <c r="B46" s="503">
        <v>2230</v>
      </c>
      <c r="C46" s="1573"/>
      <c r="D46" s="1573"/>
      <c r="E46" s="1573"/>
      <c r="F46" s="1573"/>
      <c r="G46" s="1573"/>
      <c r="H46" s="1573"/>
      <c r="I46" s="1574"/>
      <c r="J46" s="1574"/>
      <c r="K46" s="1678">
        <f>SUM(C46:J46)</f>
        <v>0</v>
      </c>
      <c r="L46" s="1573">
        <v>9500</v>
      </c>
    </row>
    <row r="47" spans="1:14" ht="12.75" customHeight="1" thickBot="1" x14ac:dyDescent="0.25">
      <c r="A47" s="1380" t="s">
        <v>557</v>
      </c>
      <c r="B47" s="1381" t="s">
        <v>32</v>
      </c>
      <c r="C47" s="1674">
        <f>SUM(C44:C46)</f>
        <v>13351</v>
      </c>
      <c r="D47" s="1674">
        <f t="shared" ref="D47:K47" si="4">SUM(D44:D46)</f>
        <v>0</v>
      </c>
      <c r="E47" s="1674">
        <f t="shared" si="4"/>
        <v>19309</v>
      </c>
      <c r="F47" s="1674">
        <f t="shared" si="4"/>
        <v>15880</v>
      </c>
      <c r="G47" s="1674">
        <f t="shared" si="4"/>
        <v>0</v>
      </c>
      <c r="H47" s="1674">
        <f t="shared" si="4"/>
        <v>0</v>
      </c>
      <c r="I47" s="1674">
        <f t="shared" si="4"/>
        <v>0</v>
      </c>
      <c r="J47" s="1674">
        <f t="shared" si="4"/>
        <v>0</v>
      </c>
      <c r="K47" s="1674">
        <f t="shared" si="4"/>
        <v>48540</v>
      </c>
      <c r="L47" s="1674">
        <f>SUM(L44:L46)</f>
        <v>60400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1400</v>
      </c>
      <c r="D49" s="1586">
        <v>3285</v>
      </c>
      <c r="E49" s="1586">
        <v>33172</v>
      </c>
      <c r="F49" s="1586">
        <v>5840</v>
      </c>
      <c r="G49" s="1586"/>
      <c r="H49" s="1586">
        <v>5427</v>
      </c>
      <c r="I49" s="1574"/>
      <c r="J49" s="1574"/>
      <c r="K49" s="1678">
        <f>SUM(C49:J49)</f>
        <v>49124</v>
      </c>
      <c r="L49" s="1586">
        <v>53300</v>
      </c>
    </row>
    <row r="50" spans="1:14" x14ac:dyDescent="0.2">
      <c r="A50" s="1274" t="s">
        <v>813</v>
      </c>
      <c r="B50" s="503">
        <v>2320</v>
      </c>
      <c r="C50" s="1573">
        <v>199504</v>
      </c>
      <c r="D50" s="1573">
        <v>47532</v>
      </c>
      <c r="E50" s="1573">
        <v>1126</v>
      </c>
      <c r="F50" s="1573">
        <v>578</v>
      </c>
      <c r="G50" s="1573"/>
      <c r="H50" s="1573">
        <v>1252</v>
      </c>
      <c r="I50" s="1574"/>
      <c r="J50" s="1574"/>
      <c r="K50" s="1678">
        <f>SUM(C50:J50)</f>
        <v>249992</v>
      </c>
      <c r="L50" s="1573">
        <v>268400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200904</v>
      </c>
      <c r="D53" s="1674">
        <f t="shared" ref="D53:L53" si="5">SUM(D49:D52)</f>
        <v>50817</v>
      </c>
      <c r="E53" s="1674">
        <f t="shared" si="5"/>
        <v>34298</v>
      </c>
      <c r="F53" s="1674">
        <f t="shared" si="5"/>
        <v>6418</v>
      </c>
      <c r="G53" s="1674">
        <f t="shared" si="5"/>
        <v>0</v>
      </c>
      <c r="H53" s="1674">
        <f t="shared" si="5"/>
        <v>6679</v>
      </c>
      <c r="I53" s="1674">
        <f t="shared" si="5"/>
        <v>0</v>
      </c>
      <c r="J53" s="1674">
        <f t="shared" si="5"/>
        <v>0</v>
      </c>
      <c r="K53" s="1674">
        <f t="shared" si="5"/>
        <v>299116</v>
      </c>
      <c r="L53" s="1674">
        <f t="shared" si="5"/>
        <v>321700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467722</v>
      </c>
      <c r="D55" s="1586">
        <v>103535</v>
      </c>
      <c r="E55" s="1586">
        <v>20395</v>
      </c>
      <c r="F55" s="1586"/>
      <c r="G55" s="1586"/>
      <c r="H55" s="1586">
        <v>633</v>
      </c>
      <c r="I55" s="1574"/>
      <c r="J55" s="1574"/>
      <c r="K55" s="1678">
        <f>SUM(C55:J55)</f>
        <v>592285</v>
      </c>
      <c r="L55" s="1586">
        <v>539200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467722</v>
      </c>
      <c r="D57" s="1679">
        <f t="shared" ref="D57:K57" si="6">SUM(D55:D56)</f>
        <v>103535</v>
      </c>
      <c r="E57" s="1679">
        <f t="shared" si="6"/>
        <v>20395</v>
      </c>
      <c r="F57" s="1679">
        <f t="shared" si="6"/>
        <v>0</v>
      </c>
      <c r="G57" s="1679">
        <f t="shared" si="6"/>
        <v>0</v>
      </c>
      <c r="H57" s="1679">
        <f t="shared" si="6"/>
        <v>633</v>
      </c>
      <c r="I57" s="1679">
        <f t="shared" si="6"/>
        <v>0</v>
      </c>
      <c r="J57" s="1679">
        <f t="shared" si="6"/>
        <v>0</v>
      </c>
      <c r="K57" s="1679">
        <f t="shared" si="6"/>
        <v>592285</v>
      </c>
      <c r="L57" s="1674">
        <f>SUM(L55:L56)</f>
        <v>539200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110310</v>
      </c>
      <c r="D60" s="1573">
        <v>36245</v>
      </c>
      <c r="E60" s="1573">
        <v>799</v>
      </c>
      <c r="F60" s="1573">
        <v>9192</v>
      </c>
      <c r="G60" s="1573"/>
      <c r="H60" s="1573">
        <v>14790</v>
      </c>
      <c r="I60" s="1574"/>
      <c r="J60" s="1574"/>
      <c r="K60" s="1678">
        <f t="shared" si="7"/>
        <v>171336</v>
      </c>
      <c r="L60" s="1573">
        <v>140400</v>
      </c>
      <c r="M60" s="501"/>
      <c r="N60" s="501"/>
    </row>
    <row r="61" spans="1:14" s="321" customFormat="1" x14ac:dyDescent="0.2">
      <c r="A61" s="1274" t="s">
        <v>195</v>
      </c>
      <c r="B61" s="503">
        <v>2540</v>
      </c>
      <c r="C61" s="1573"/>
      <c r="D61" s="1573"/>
      <c r="E61" s="1573"/>
      <c r="F61" s="1573">
        <v>248</v>
      </c>
      <c r="G61" s="1573"/>
      <c r="H61" s="1573"/>
      <c r="I61" s="1574"/>
      <c r="J61" s="1574"/>
      <c r="K61" s="1678">
        <f t="shared" si="7"/>
        <v>248</v>
      </c>
      <c r="L61" s="1573">
        <v>23000</v>
      </c>
      <c r="M61" s="501"/>
      <c r="N61" s="501"/>
    </row>
    <row r="62" spans="1:14" s="321" customFormat="1" x14ac:dyDescent="0.2">
      <c r="A62" s="1274" t="s">
        <v>947</v>
      </c>
      <c r="B62" s="503">
        <v>2550</v>
      </c>
      <c r="C62" s="1573">
        <v>16416</v>
      </c>
      <c r="D62" s="1573"/>
      <c r="E62" s="1573"/>
      <c r="F62" s="1573"/>
      <c r="G62" s="1573"/>
      <c r="H62" s="1573"/>
      <c r="I62" s="1574"/>
      <c r="J62" s="1574"/>
      <c r="K62" s="1678">
        <f t="shared" si="7"/>
        <v>16416</v>
      </c>
      <c r="L62" s="1573">
        <v>34450</v>
      </c>
      <c r="M62" s="501"/>
      <c r="N62" s="501"/>
    </row>
    <row r="63" spans="1:14" s="501" customFormat="1" x14ac:dyDescent="0.2">
      <c r="A63" s="1274" t="s">
        <v>100</v>
      </c>
      <c r="B63" s="503">
        <v>2560</v>
      </c>
      <c r="C63" s="1573">
        <v>160308</v>
      </c>
      <c r="D63" s="1573">
        <v>4887</v>
      </c>
      <c r="E63" s="1573">
        <v>2161</v>
      </c>
      <c r="F63" s="1573">
        <v>154976</v>
      </c>
      <c r="G63" s="1573"/>
      <c r="H63" s="1573"/>
      <c r="I63" s="1574"/>
      <c r="J63" s="1574"/>
      <c r="K63" s="1678">
        <f t="shared" si="7"/>
        <v>322332</v>
      </c>
      <c r="L63" s="1573">
        <v>373550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287034</v>
      </c>
      <c r="D65" s="1674">
        <f t="shared" ref="D65:L65" si="8">SUM(D59:D64)</f>
        <v>41132</v>
      </c>
      <c r="E65" s="1674">
        <f t="shared" si="8"/>
        <v>2960</v>
      </c>
      <c r="F65" s="1674">
        <f t="shared" si="8"/>
        <v>164416</v>
      </c>
      <c r="G65" s="1674">
        <f t="shared" si="8"/>
        <v>0</v>
      </c>
      <c r="H65" s="1674">
        <f t="shared" si="8"/>
        <v>14790</v>
      </c>
      <c r="I65" s="1674">
        <f t="shared" si="8"/>
        <v>0</v>
      </c>
      <c r="J65" s="1674">
        <f t="shared" si="8"/>
        <v>0</v>
      </c>
      <c r="K65" s="1674">
        <f t="shared" si="8"/>
        <v>510332</v>
      </c>
      <c r="L65" s="1674">
        <f t="shared" si="8"/>
        <v>571400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1043429</v>
      </c>
      <c r="D74" s="1681">
        <f t="shared" ref="D74:K74" si="10">SUM(D42,D47,D53,D57,D65,D72,D73)</f>
        <v>208568</v>
      </c>
      <c r="E74" s="1681">
        <f t="shared" si="10"/>
        <v>105638</v>
      </c>
      <c r="F74" s="1681">
        <f t="shared" si="10"/>
        <v>191105</v>
      </c>
      <c r="G74" s="1681">
        <f t="shared" si="10"/>
        <v>0</v>
      </c>
      <c r="H74" s="1681">
        <f t="shared" si="10"/>
        <v>22102</v>
      </c>
      <c r="I74" s="1681">
        <f t="shared" si="10"/>
        <v>0</v>
      </c>
      <c r="J74" s="1681">
        <f t="shared" si="10"/>
        <v>0</v>
      </c>
      <c r="K74" s="1681">
        <f t="shared" si="10"/>
        <v>1570842</v>
      </c>
      <c r="L74" s="1681">
        <f>SUM(L42,L47,L53,L57,L65,L72,L73)</f>
        <v>1850400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12500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517337</v>
      </c>
      <c r="I79" s="1582"/>
      <c r="J79" s="1582"/>
      <c r="K79" s="1672">
        <f t="shared" si="11"/>
        <v>517337</v>
      </c>
      <c r="L79" s="1573">
        <v>440000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18000</v>
      </c>
      <c r="I81" s="1582"/>
      <c r="J81" s="1582"/>
      <c r="K81" s="1672">
        <f t="shared" si="11"/>
        <v>18000</v>
      </c>
      <c r="L81" s="1573">
        <v>18000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2580</v>
      </c>
      <c r="I83" s="1582"/>
      <c r="J83" s="1582"/>
      <c r="K83" s="1672">
        <f t="shared" si="11"/>
        <v>2580</v>
      </c>
      <c r="L83" s="1573">
        <v>8000</v>
      </c>
    </row>
    <row r="84" spans="1:12" ht="13.5" thickBot="1" x14ac:dyDescent="0.25">
      <c r="A84" s="1380" t="s">
        <v>1468</v>
      </c>
      <c r="B84" s="1385">
        <v>4100</v>
      </c>
      <c r="C84" s="1673"/>
      <c r="D84" s="1673"/>
      <c r="E84" s="1674">
        <f>SUM(E78:E83)</f>
        <v>0</v>
      </c>
      <c r="F84" s="1673"/>
      <c r="G84" s="1673"/>
      <c r="H84" s="1674">
        <f>SUM(H78:H83)</f>
        <v>537917</v>
      </c>
      <c r="I84" s="1582"/>
      <c r="J84" s="1582"/>
      <c r="K84" s="1674">
        <f>SUM(K78:K83)</f>
        <v>537917</v>
      </c>
      <c r="L84" s="1674">
        <f>SUM(L78:L83)</f>
        <v>466000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v>24000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24000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537917</v>
      </c>
      <c r="I102" s="1582"/>
      <c r="J102" s="1582"/>
      <c r="K102" s="1681">
        <f>SUM(K84,K92,K100,K101)</f>
        <v>537917</v>
      </c>
      <c r="L102" s="1681">
        <f>SUM(L84,L92,L100,L101)</f>
        <v>490000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20000</v>
      </c>
      <c r="M113" s="502"/>
      <c r="N113" s="502"/>
    </row>
    <row r="114" spans="1:14" ht="12.75" customHeight="1" thickTop="1" thickBot="1" x14ac:dyDescent="0.25">
      <c r="A114" s="1380" t="s">
        <v>48</v>
      </c>
      <c r="B114" s="1388"/>
      <c r="C114" s="1674">
        <f>SUM(C33,C74,C75,C102,C112,C113)</f>
        <v>5440272</v>
      </c>
      <c r="D114" s="1674">
        <f t="shared" ref="D114:K114" si="13">SUM(D33,D74,D75,D102,D112,D113)</f>
        <v>1235528</v>
      </c>
      <c r="E114" s="1674">
        <f t="shared" si="13"/>
        <v>135710</v>
      </c>
      <c r="F114" s="1674">
        <f t="shared" si="13"/>
        <v>366252</v>
      </c>
      <c r="G114" s="1674">
        <f t="shared" si="13"/>
        <v>59138</v>
      </c>
      <c r="H114" s="1674">
        <f>SUM(H33,H74,H75,H102,H112,H113)</f>
        <v>570314</v>
      </c>
      <c r="I114" s="1674">
        <f t="shared" si="13"/>
        <v>0</v>
      </c>
      <c r="J114" s="1674">
        <f t="shared" si="13"/>
        <v>0</v>
      </c>
      <c r="K114" s="1674">
        <f t="shared" si="13"/>
        <v>7807214</v>
      </c>
      <c r="L114" s="1674">
        <f>SUM(L33,L74,L75,L102,L112,L113)</f>
        <v>7970150</v>
      </c>
    </row>
    <row r="115" spans="1:14" ht="13.5" thickTop="1" x14ac:dyDescent="0.2">
      <c r="A115" s="2287" t="s">
        <v>989</v>
      </c>
      <c r="B115" s="2288"/>
      <c r="C115" s="1675"/>
      <c r="D115" s="1675"/>
      <c r="E115" s="1675"/>
      <c r="F115" s="1675"/>
      <c r="G115" s="1675"/>
      <c r="H115" s="1675"/>
      <c r="I115" s="1675"/>
      <c r="J115" s="1675"/>
      <c r="K115" s="1689">
        <f>'Revenues 9-14'!C268-'Expenditures 15-22'!K114</f>
        <v>392346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10500</v>
      </c>
      <c r="F123" s="1573"/>
      <c r="G123" s="1573"/>
      <c r="H123" s="1573"/>
      <c r="I123" s="1574"/>
      <c r="J123" s="1574"/>
      <c r="K123" s="1674">
        <f>SUM(C123:J123)</f>
        <v>10500</v>
      </c>
      <c r="L123" s="1573">
        <v>10500</v>
      </c>
    </row>
    <row r="124" spans="1:14" ht="14.25" thickTop="1" thickBot="1" x14ac:dyDescent="0.25">
      <c r="A124" s="1274" t="s">
        <v>195</v>
      </c>
      <c r="B124" s="503">
        <v>2540</v>
      </c>
      <c r="C124" s="1573">
        <v>401218</v>
      </c>
      <c r="D124" s="1573">
        <v>69205</v>
      </c>
      <c r="E124" s="1573">
        <v>526493</v>
      </c>
      <c r="F124" s="1573">
        <v>281766</v>
      </c>
      <c r="G124" s="1573">
        <v>195754</v>
      </c>
      <c r="H124" s="1573">
        <v>366</v>
      </c>
      <c r="I124" s="1574"/>
      <c r="J124" s="1574"/>
      <c r="K124" s="1674">
        <f>SUM(C124:J124)</f>
        <v>1474802</v>
      </c>
      <c r="L124" s="1573">
        <v>1505000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401218</v>
      </c>
      <c r="D127" s="1674">
        <f t="shared" ref="D127:L127" si="14">SUM(D122:D126)</f>
        <v>69205</v>
      </c>
      <c r="E127" s="1674">
        <f t="shared" si="14"/>
        <v>536993</v>
      </c>
      <c r="F127" s="1674">
        <f t="shared" si="14"/>
        <v>281766</v>
      </c>
      <c r="G127" s="1674">
        <f t="shared" si="14"/>
        <v>195754</v>
      </c>
      <c r="H127" s="1674">
        <f t="shared" si="14"/>
        <v>366</v>
      </c>
      <c r="I127" s="1674">
        <f t="shared" si="14"/>
        <v>0</v>
      </c>
      <c r="J127" s="1674">
        <f t="shared" si="14"/>
        <v>0</v>
      </c>
      <c r="K127" s="1674">
        <f t="shared" si="14"/>
        <v>1485302</v>
      </c>
      <c r="L127" s="1674">
        <f t="shared" si="14"/>
        <v>1515500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401218</v>
      </c>
      <c r="D129" s="1681">
        <f t="shared" ref="D129:L129" si="15">SUM(D120,D127,D128)</f>
        <v>69205</v>
      </c>
      <c r="E129" s="1681">
        <f t="shared" si="15"/>
        <v>536993</v>
      </c>
      <c r="F129" s="1681">
        <f t="shared" si="15"/>
        <v>281766</v>
      </c>
      <c r="G129" s="1681">
        <f t="shared" si="15"/>
        <v>195754</v>
      </c>
      <c r="H129" s="1681">
        <f t="shared" si="15"/>
        <v>366</v>
      </c>
      <c r="I129" s="1681">
        <f t="shared" si="15"/>
        <v>0</v>
      </c>
      <c r="J129" s="1681">
        <f t="shared" si="15"/>
        <v>0</v>
      </c>
      <c r="K129" s="1681">
        <f t="shared" si="15"/>
        <v>1485302</v>
      </c>
      <c r="L129" s="1681">
        <f t="shared" si="15"/>
        <v>1515500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401218</v>
      </c>
      <c r="D151" s="1674">
        <f t="shared" ref="D151:K151" si="16">SUM(D129,D130,D139,D149,D150)</f>
        <v>69205</v>
      </c>
      <c r="E151" s="1674">
        <f t="shared" si="16"/>
        <v>536993</v>
      </c>
      <c r="F151" s="1674">
        <f t="shared" si="16"/>
        <v>281766</v>
      </c>
      <c r="G151" s="1674">
        <f t="shared" si="16"/>
        <v>195754</v>
      </c>
      <c r="H151" s="1674">
        <f t="shared" si="16"/>
        <v>366</v>
      </c>
      <c r="I151" s="1674">
        <f t="shared" si="16"/>
        <v>0</v>
      </c>
      <c r="J151" s="1674">
        <f t="shared" si="16"/>
        <v>0</v>
      </c>
      <c r="K151" s="1674">
        <f t="shared" si="16"/>
        <v>1485302</v>
      </c>
      <c r="L151" s="1674">
        <f>SUM(L129,L130,L139,L149,L150)</f>
        <v>1515500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-171269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530640</v>
      </c>
      <c r="I169" s="1673"/>
      <c r="J169" s="1673"/>
      <c r="K169" s="1672">
        <f>SUM(C169:H169)</f>
        <v>530640</v>
      </c>
      <c r="L169" s="1695">
        <v>2000</v>
      </c>
    </row>
    <row r="170" spans="1:14" ht="33.75" customHeight="1" x14ac:dyDescent="0.2">
      <c r="A170" s="543" t="s">
        <v>1651</v>
      </c>
      <c r="B170" s="545" t="s">
        <v>31</v>
      </c>
      <c r="C170" s="1673"/>
      <c r="D170" s="1673"/>
      <c r="E170" s="1673"/>
      <c r="F170" s="1673"/>
      <c r="G170" s="1673"/>
      <c r="H170" s="1646">
        <v>2388000</v>
      </c>
      <c r="I170" s="1673"/>
      <c r="J170" s="1673"/>
      <c r="K170" s="1672">
        <f>SUM(C170:J170)</f>
        <v>2388000</v>
      </c>
      <c r="L170" s="1646">
        <v>2920500</v>
      </c>
    </row>
    <row r="171" spans="1:14" ht="15.75" customHeight="1" x14ac:dyDescent="0.2">
      <c r="A171" s="507" t="s">
        <v>761</v>
      </c>
      <c r="B171" s="546" t="s">
        <v>84</v>
      </c>
      <c r="C171" s="1673"/>
      <c r="D171" s="1673"/>
      <c r="E171" s="1573"/>
      <c r="F171" s="1673"/>
      <c r="G171" s="1673"/>
      <c r="H171" s="1646">
        <v>2300</v>
      </c>
      <c r="I171" s="1582"/>
      <c r="J171" s="1673"/>
      <c r="K171" s="1672">
        <f>SUM(C171:J171)</f>
        <v>2300</v>
      </c>
      <c r="L171" s="1646"/>
    </row>
    <row r="172" spans="1:14" ht="12.75" customHeight="1" thickBot="1" x14ac:dyDescent="0.25">
      <c r="A172" s="1380" t="s">
        <v>633</v>
      </c>
      <c r="B172" s="1381" t="s">
        <v>489</v>
      </c>
      <c r="C172" s="1673"/>
      <c r="D172" s="1673"/>
      <c r="E172" s="1681">
        <f>SUM(E168,E169,E170,E171)</f>
        <v>0</v>
      </c>
      <c r="F172" s="1673"/>
      <c r="G172" s="1673"/>
      <c r="H172" s="1681">
        <f>SUM(H168,H169,H170,H171)</f>
        <v>2920940</v>
      </c>
      <c r="I172" s="1684"/>
      <c r="J172" s="1673"/>
      <c r="K172" s="1681">
        <f>SUM(K168,K169,K170,K171)</f>
        <v>2920940</v>
      </c>
      <c r="L172" s="1681">
        <f>SUM(L168,L169,L170,L171)</f>
        <v>2922500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2920940</v>
      </c>
      <c r="I174" s="1684"/>
      <c r="J174" s="1673"/>
      <c r="K174" s="1681">
        <f>SUM(K160,K172,K173)</f>
        <v>2920940</v>
      </c>
      <c r="L174" s="1681">
        <f>SUM(L160,L172,L173)</f>
        <v>2922500</v>
      </c>
    </row>
    <row r="175" spans="1:14" ht="13.5" thickTop="1" x14ac:dyDescent="0.2">
      <c r="A175" s="2287" t="s">
        <v>989</v>
      </c>
      <c r="B175" s="2288"/>
      <c r="C175" s="1673"/>
      <c r="D175" s="1673"/>
      <c r="E175" s="1673"/>
      <c r="F175" s="1673"/>
      <c r="G175" s="1673"/>
      <c r="H175" s="1675"/>
      <c r="I175" s="1673"/>
      <c r="J175" s="1673"/>
      <c r="K175" s="1689">
        <f>'Revenues 9-14'!E268-'Expenditures 15-22'!K174</f>
        <v>-445118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399831</v>
      </c>
      <c r="D182" s="1573">
        <v>2451</v>
      </c>
      <c r="E182" s="1573">
        <v>37496</v>
      </c>
      <c r="F182" s="1573">
        <v>78573</v>
      </c>
      <c r="G182" s="1573"/>
      <c r="H182" s="1573"/>
      <c r="I182" s="1574">
        <v>224640</v>
      </c>
      <c r="J182" s="1574"/>
      <c r="K182" s="1672">
        <f>SUM(C182:J182)</f>
        <v>742991</v>
      </c>
      <c r="L182" s="1573">
        <v>790650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399831</v>
      </c>
      <c r="D184" s="1681">
        <f t="shared" ref="D184:J184" si="17">SUM(D180,D182,D183)</f>
        <v>2451</v>
      </c>
      <c r="E184" s="1681">
        <f t="shared" si="17"/>
        <v>37496</v>
      </c>
      <c r="F184" s="1681">
        <f t="shared" si="17"/>
        <v>78573</v>
      </c>
      <c r="G184" s="1681">
        <f t="shared" si="17"/>
        <v>0</v>
      </c>
      <c r="H184" s="1681">
        <f t="shared" si="17"/>
        <v>0</v>
      </c>
      <c r="I184" s="1681">
        <f t="shared" si="17"/>
        <v>224640</v>
      </c>
      <c r="J184" s="1681">
        <f t="shared" si="17"/>
        <v>0</v>
      </c>
      <c r="K184" s="1681">
        <f>SUM(K180,K182,K183)</f>
        <v>742991</v>
      </c>
      <c r="L184" s="1681">
        <f>SUM(L180, L182:L183)</f>
        <v>790650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399831</v>
      </c>
      <c r="D210" s="1674">
        <f>SUM(D184,D185)</f>
        <v>2451</v>
      </c>
      <c r="E210" s="1674">
        <f>SUM(E184,E185,E196)</f>
        <v>37496</v>
      </c>
      <c r="F210" s="1674">
        <f>SUM(F184,F185)</f>
        <v>78573</v>
      </c>
      <c r="G210" s="1674">
        <f>SUM(G184,G185)</f>
        <v>0</v>
      </c>
      <c r="H210" s="1674">
        <f>SUM(H184,H185,H196,H208,H209)</f>
        <v>0</v>
      </c>
      <c r="I210" s="1674">
        <f>SUM(I184,I185)</f>
        <v>224640</v>
      </c>
      <c r="J210" s="1674">
        <f>SUM(J184,J185)</f>
        <v>0</v>
      </c>
      <c r="K210" s="1672">
        <f>SUM(K184,K185,K196,K208,K209)</f>
        <v>742991</v>
      </c>
      <c r="L210" s="1674">
        <f>SUM(L184,L185,L196,L208,L209)</f>
        <v>790650</v>
      </c>
    </row>
    <row r="211" spans="1:14" ht="13.5" thickTop="1" x14ac:dyDescent="0.2">
      <c r="A211" s="2287" t="s">
        <v>989</v>
      </c>
      <c r="B211" s="2288"/>
      <c r="C211" s="1675"/>
      <c r="D211" s="1675"/>
      <c r="E211" s="1675"/>
      <c r="F211" s="1675"/>
      <c r="G211" s="1675"/>
      <c r="H211" s="1675"/>
      <c r="I211" s="1673"/>
      <c r="J211" s="1673"/>
      <c r="K211" s="1689">
        <f>'Revenues 9-14'!F268-'Expenditures 15-22'!K210</f>
        <v>142937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89799</v>
      </c>
      <c r="E215" s="1673"/>
      <c r="F215" s="1673"/>
      <c r="G215" s="1673"/>
      <c r="H215" s="1673"/>
      <c r="I215" s="1673"/>
      <c r="J215" s="1673"/>
      <c r="K215" s="1672">
        <f>D215</f>
        <v>89799</v>
      </c>
      <c r="L215" s="1573">
        <v>89500</v>
      </c>
    </row>
    <row r="216" spans="1:14" x14ac:dyDescent="0.2">
      <c r="A216" s="1274" t="s">
        <v>162</v>
      </c>
      <c r="B216" s="503" t="s">
        <v>961</v>
      </c>
      <c r="C216" s="1673"/>
      <c r="D216" s="1574">
        <v>1412</v>
      </c>
      <c r="E216" s="1673"/>
      <c r="F216" s="1673"/>
      <c r="G216" s="1673"/>
      <c r="H216" s="1673"/>
      <c r="I216" s="1673"/>
      <c r="J216" s="1673"/>
      <c r="K216" s="1672">
        <f t="shared" ref="K216:K228" si="19">D216</f>
        <v>1412</v>
      </c>
      <c r="L216" s="1573">
        <v>1600</v>
      </c>
    </row>
    <row r="217" spans="1:14" x14ac:dyDescent="0.2">
      <c r="A217" s="1274" t="s">
        <v>163</v>
      </c>
      <c r="B217" s="503">
        <v>1200</v>
      </c>
      <c r="C217" s="1673"/>
      <c r="D217" s="1573">
        <v>1546</v>
      </c>
      <c r="E217" s="1673"/>
      <c r="F217" s="1673"/>
      <c r="G217" s="1673"/>
      <c r="H217" s="1673"/>
      <c r="I217" s="1673"/>
      <c r="J217" s="1673"/>
      <c r="K217" s="1672">
        <f t="shared" si="19"/>
        <v>1546</v>
      </c>
      <c r="L217" s="1573">
        <v>2100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9207</v>
      </c>
      <c r="E219" s="1673"/>
      <c r="F219" s="1673"/>
      <c r="G219" s="1673"/>
      <c r="H219" s="1673"/>
      <c r="I219" s="1673"/>
      <c r="J219" s="1673"/>
      <c r="K219" s="1672">
        <f t="shared" si="19"/>
        <v>9207</v>
      </c>
      <c r="L219" s="1573">
        <v>8900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1445</v>
      </c>
      <c r="E222" s="1673"/>
      <c r="F222" s="1673"/>
      <c r="G222" s="1673"/>
      <c r="H222" s="1673"/>
      <c r="I222" s="1673"/>
      <c r="J222" s="1673"/>
      <c r="K222" s="1672">
        <f t="shared" si="19"/>
        <v>1445</v>
      </c>
      <c r="L222" s="1573">
        <v>1500</v>
      </c>
    </row>
    <row r="223" spans="1:14" x14ac:dyDescent="0.2">
      <c r="A223" s="1274" t="s">
        <v>957</v>
      </c>
      <c r="B223" s="503">
        <v>1500</v>
      </c>
      <c r="C223" s="1673"/>
      <c r="D223" s="1573">
        <v>6023</v>
      </c>
      <c r="E223" s="1673"/>
      <c r="F223" s="1673"/>
      <c r="G223" s="1673"/>
      <c r="H223" s="1673"/>
      <c r="I223" s="1673"/>
      <c r="J223" s="1673"/>
      <c r="K223" s="1672">
        <f t="shared" si="19"/>
        <v>6023</v>
      </c>
      <c r="L223" s="1573">
        <v>6900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186</v>
      </c>
      <c r="E226" s="1673"/>
      <c r="F226" s="1673"/>
      <c r="G226" s="1673"/>
      <c r="H226" s="1673"/>
      <c r="I226" s="1673"/>
      <c r="J226" s="1673"/>
      <c r="K226" s="1672">
        <f t="shared" si="19"/>
        <v>186</v>
      </c>
      <c r="L226" s="1573">
        <v>300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109618</v>
      </c>
      <c r="E229" s="1673"/>
      <c r="F229" s="1673"/>
      <c r="G229" s="1673"/>
      <c r="H229" s="1673"/>
      <c r="I229" s="1673"/>
      <c r="J229" s="1673"/>
      <c r="K229" s="1674">
        <f>SUM(K215:K228)</f>
        <v>109618</v>
      </c>
      <c r="L229" s="1674">
        <f>SUM(L215:L228)</f>
        <v>110800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333</v>
      </c>
      <c r="E232" s="1673"/>
      <c r="F232" s="1673"/>
      <c r="G232" s="1673"/>
      <c r="H232" s="1673"/>
      <c r="I232" s="1673"/>
      <c r="J232" s="1673"/>
      <c r="K232" s="1672">
        <f t="shared" ref="K232:K237" si="20">D232</f>
        <v>333</v>
      </c>
      <c r="L232" s="1573">
        <v>400</v>
      </c>
    </row>
    <row r="233" spans="1:12" x14ac:dyDescent="0.2">
      <c r="A233" s="1274" t="s">
        <v>1081</v>
      </c>
      <c r="B233" s="503">
        <v>2120</v>
      </c>
      <c r="C233" s="1673"/>
      <c r="D233" s="1573">
        <v>169</v>
      </c>
      <c r="E233" s="1673"/>
      <c r="F233" s="1673"/>
      <c r="G233" s="1673"/>
      <c r="H233" s="1673"/>
      <c r="I233" s="1673"/>
      <c r="J233" s="1673"/>
      <c r="K233" s="1672">
        <f t="shared" si="20"/>
        <v>169</v>
      </c>
      <c r="L233" s="1573">
        <v>300</v>
      </c>
    </row>
    <row r="234" spans="1:12" x14ac:dyDescent="0.2">
      <c r="A234" s="1274" t="s">
        <v>196</v>
      </c>
      <c r="B234" s="503">
        <v>2130</v>
      </c>
      <c r="C234" s="1673"/>
      <c r="D234" s="1573">
        <v>4673</v>
      </c>
      <c r="E234" s="1673"/>
      <c r="F234" s="1673"/>
      <c r="G234" s="1673"/>
      <c r="H234" s="1673"/>
      <c r="I234" s="1673"/>
      <c r="J234" s="1673"/>
      <c r="K234" s="1672">
        <f t="shared" si="20"/>
        <v>4673</v>
      </c>
      <c r="L234" s="1573">
        <v>4700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170</v>
      </c>
      <c r="E236" s="1673"/>
      <c r="F236" s="1673"/>
      <c r="G236" s="1673"/>
      <c r="H236" s="1673"/>
      <c r="I236" s="1673"/>
      <c r="J236" s="1673"/>
      <c r="K236" s="1672">
        <f t="shared" si="20"/>
        <v>170</v>
      </c>
      <c r="L236" s="1573">
        <v>300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5345</v>
      </c>
      <c r="E238" s="1673"/>
      <c r="F238" s="1673"/>
      <c r="G238" s="1673"/>
      <c r="H238" s="1673"/>
      <c r="I238" s="1673"/>
      <c r="J238" s="1673"/>
      <c r="K238" s="1674">
        <f>SUM(K232:K237)</f>
        <v>5345</v>
      </c>
      <c r="L238" s="1674">
        <f>SUM(L232:L237)</f>
        <v>5700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114</v>
      </c>
      <c r="E240" s="1673"/>
      <c r="F240" s="1673"/>
      <c r="G240" s="1673"/>
      <c r="H240" s="1673"/>
      <c r="I240" s="1673"/>
      <c r="J240" s="1673"/>
      <c r="K240" s="1678">
        <f>D240</f>
        <v>114</v>
      </c>
      <c r="L240" s="1586"/>
    </row>
    <row r="241" spans="1:12" x14ac:dyDescent="0.2">
      <c r="A241" s="1274" t="s">
        <v>810</v>
      </c>
      <c r="B241" s="503">
        <v>2220</v>
      </c>
      <c r="C241" s="1673"/>
      <c r="D241" s="1573">
        <v>2291</v>
      </c>
      <c r="E241" s="1673"/>
      <c r="F241" s="1673"/>
      <c r="G241" s="1673"/>
      <c r="H241" s="1673"/>
      <c r="I241" s="1673"/>
      <c r="J241" s="1673"/>
      <c r="K241" s="1678">
        <f>D241</f>
        <v>2291</v>
      </c>
      <c r="L241" s="1573">
        <v>2800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2405</v>
      </c>
      <c r="E243" s="1673"/>
      <c r="F243" s="1673"/>
      <c r="G243" s="1673"/>
      <c r="H243" s="1673"/>
      <c r="I243" s="1673"/>
      <c r="J243" s="1673"/>
      <c r="K243" s="1674">
        <f>SUM(K240:K242)</f>
        <v>2405</v>
      </c>
      <c r="L243" s="1674">
        <f>SUM(L240:L242)</f>
        <v>2800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107</v>
      </c>
      <c r="E245" s="1673"/>
      <c r="F245" s="1673"/>
      <c r="G245" s="1673"/>
      <c r="H245" s="1673"/>
      <c r="I245" s="1673"/>
      <c r="J245" s="1673"/>
      <c r="K245" s="1678">
        <f>D245</f>
        <v>107</v>
      </c>
      <c r="L245" s="1586">
        <v>200</v>
      </c>
    </row>
    <row r="246" spans="1:12" x14ac:dyDescent="0.2">
      <c r="A246" s="1274" t="s">
        <v>813</v>
      </c>
      <c r="B246" s="503">
        <v>2320</v>
      </c>
      <c r="C246" s="1673"/>
      <c r="D246" s="1573">
        <v>10801</v>
      </c>
      <c r="E246" s="1673"/>
      <c r="F246" s="1673"/>
      <c r="G246" s="1673"/>
      <c r="H246" s="1673"/>
      <c r="I246" s="1673"/>
      <c r="J246" s="1673"/>
      <c r="K246" s="1678">
        <f t="shared" ref="K246:K256" si="21">D246</f>
        <v>10801</v>
      </c>
      <c r="L246" s="1573">
        <v>12100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10908</v>
      </c>
      <c r="E257" s="1673"/>
      <c r="F257" s="1673"/>
      <c r="G257" s="1673"/>
      <c r="H257" s="1673"/>
      <c r="I257" s="1673"/>
      <c r="J257" s="1673"/>
      <c r="K257" s="1674">
        <f>SUM(K245:K256)</f>
        <v>10908</v>
      </c>
      <c r="L257" s="1674">
        <f>SUM(L245:L256)</f>
        <v>12300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36739</v>
      </c>
      <c r="E259" s="1673"/>
      <c r="F259" s="1673"/>
      <c r="G259" s="1673"/>
      <c r="H259" s="1673"/>
      <c r="I259" s="1673"/>
      <c r="J259" s="1673"/>
      <c r="K259" s="1678">
        <f>D259</f>
        <v>36739</v>
      </c>
      <c r="L259" s="1586">
        <v>37100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36739</v>
      </c>
      <c r="E261" s="1673"/>
      <c r="F261" s="1673"/>
      <c r="G261" s="1673"/>
      <c r="H261" s="1673"/>
      <c r="I261" s="1673"/>
      <c r="J261" s="1673"/>
      <c r="K261" s="1674">
        <f>SUM(K259:K260)</f>
        <v>36739</v>
      </c>
      <c r="L261" s="1674">
        <f>SUM(L259:L260)</f>
        <v>37100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8673</v>
      </c>
      <c r="E264" s="1673"/>
      <c r="F264" s="1673"/>
      <c r="G264" s="1673"/>
      <c r="H264" s="1673"/>
      <c r="I264" s="1673"/>
      <c r="J264" s="1673"/>
      <c r="K264" s="1678">
        <f t="shared" ref="K264:K269" si="22">D264</f>
        <v>8673</v>
      </c>
      <c r="L264" s="1573">
        <v>8800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69037</v>
      </c>
      <c r="E266" s="1673"/>
      <c r="F266" s="1673"/>
      <c r="G266" s="1673"/>
      <c r="H266" s="1673"/>
      <c r="I266" s="1673"/>
      <c r="J266" s="1673"/>
      <c r="K266" s="1678">
        <f t="shared" si="22"/>
        <v>69037</v>
      </c>
      <c r="L266" s="1573">
        <v>77500</v>
      </c>
    </row>
    <row r="267" spans="1:14" x14ac:dyDescent="0.2">
      <c r="A267" s="1274" t="s">
        <v>947</v>
      </c>
      <c r="B267" s="503">
        <v>2550</v>
      </c>
      <c r="C267" s="1673"/>
      <c r="D267" s="1573">
        <v>63845</v>
      </c>
      <c r="E267" s="1673"/>
      <c r="F267" s="1673"/>
      <c r="G267" s="1673"/>
      <c r="H267" s="1673"/>
      <c r="I267" s="1673"/>
      <c r="J267" s="1673"/>
      <c r="K267" s="1678">
        <f t="shared" si="22"/>
        <v>63845</v>
      </c>
      <c r="L267" s="1573">
        <v>65200</v>
      </c>
    </row>
    <row r="268" spans="1:14" x14ac:dyDescent="0.2">
      <c r="A268" s="1274" t="s">
        <v>100</v>
      </c>
      <c r="B268" s="503">
        <v>2560</v>
      </c>
      <c r="C268" s="1673"/>
      <c r="D268" s="1573">
        <v>27435</v>
      </c>
      <c r="E268" s="1673"/>
      <c r="F268" s="1673"/>
      <c r="G268" s="1673"/>
      <c r="H268" s="1673"/>
      <c r="I268" s="1673"/>
      <c r="J268" s="1673"/>
      <c r="K268" s="1678">
        <f t="shared" si="22"/>
        <v>27435</v>
      </c>
      <c r="L268" s="1573">
        <v>29800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168990</v>
      </c>
      <c r="E270" s="1673"/>
      <c r="F270" s="1673"/>
      <c r="G270" s="1673"/>
      <c r="H270" s="1673"/>
      <c r="I270" s="1673"/>
      <c r="J270" s="1673"/>
      <c r="K270" s="1674">
        <f>SUM(K263:K269)</f>
        <v>168990</v>
      </c>
      <c r="L270" s="1674">
        <f>SUM(L263:L269)</f>
        <v>181300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224387</v>
      </c>
      <c r="E279" s="1673"/>
      <c r="F279" s="1673"/>
      <c r="G279" s="1673"/>
      <c r="H279" s="1673"/>
      <c r="I279" s="1673"/>
      <c r="J279" s="1673"/>
      <c r="K279" s="1681">
        <f>SUM(K238,K243,K257,K261,K270,K277,K278)</f>
        <v>224387</v>
      </c>
      <c r="L279" s="1681">
        <f>SUM(L238,L243,L257,L261,L270,L277,L278)</f>
        <v>239200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334005</v>
      </c>
      <c r="E295" s="1673"/>
      <c r="F295" s="1673"/>
      <c r="G295" s="1673"/>
      <c r="H295" s="1674">
        <f>H293</f>
        <v>0</v>
      </c>
      <c r="I295" s="1673"/>
      <c r="J295" s="1673"/>
      <c r="K295" s="1674">
        <f>SUM(K229,K279,K280,K285,K293,K294)</f>
        <v>334005</v>
      </c>
      <c r="L295" s="1674">
        <f>SUM(L229,L279,L280,L285,L293,L294)</f>
        <v>350000</v>
      </c>
    </row>
    <row r="296" spans="1:14" ht="13.5" thickTop="1" x14ac:dyDescent="0.2">
      <c r="A296" s="2287" t="s">
        <v>989</v>
      </c>
      <c r="B296" s="2288"/>
      <c r="C296" s="1673"/>
      <c r="D296" s="1675"/>
      <c r="E296" s="1673"/>
      <c r="F296" s="1673"/>
      <c r="G296" s="1673"/>
      <c r="H296" s="1707"/>
      <c r="I296" s="1673"/>
      <c r="J296" s="1673"/>
      <c r="K296" s="1689">
        <f>'Revenues 9-14'!G268-'Expenditures 15-22'!K295</f>
        <v>44311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269931</v>
      </c>
      <c r="F301" s="1573"/>
      <c r="G301" s="1573">
        <v>87830</v>
      </c>
      <c r="H301" s="1573"/>
      <c r="I301" s="1574"/>
      <c r="J301" s="1574"/>
      <c r="K301" s="1672">
        <f>SUM(C301:J301)</f>
        <v>357761</v>
      </c>
      <c r="L301" s="1574">
        <v>360000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269931</v>
      </c>
      <c r="F303" s="1681">
        <f t="shared" si="23"/>
        <v>0</v>
      </c>
      <c r="G303" s="1681">
        <f t="shared" si="23"/>
        <v>87830</v>
      </c>
      <c r="H303" s="1681">
        <f t="shared" si="23"/>
        <v>0</v>
      </c>
      <c r="I303" s="1681">
        <f t="shared" si="23"/>
        <v>0</v>
      </c>
      <c r="J303" s="1681">
        <f t="shared" si="23"/>
        <v>0</v>
      </c>
      <c r="K303" s="1681">
        <f t="shared" si="23"/>
        <v>357761</v>
      </c>
      <c r="L303" s="1681">
        <f t="shared" si="23"/>
        <v>360000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10000</v>
      </c>
    </row>
    <row r="312" spans="1:14" s="548" customFormat="1" ht="12.75" customHeight="1" thickTop="1" thickBot="1" x14ac:dyDescent="0.25">
      <c r="A312" s="2275" t="s">
        <v>275</v>
      </c>
      <c r="B312" s="2276"/>
      <c r="C312" s="1674">
        <f>SUM(C303)</f>
        <v>0</v>
      </c>
      <c r="D312" s="1674">
        <f>SUM(D303)</f>
        <v>0</v>
      </c>
      <c r="E312" s="1674">
        <f>SUM(E303,E310)</f>
        <v>269931</v>
      </c>
      <c r="F312" s="1674">
        <f>SUM(F303)</f>
        <v>0</v>
      </c>
      <c r="G312" s="1674">
        <f>SUM(G303)</f>
        <v>87830</v>
      </c>
      <c r="H312" s="1674">
        <f>SUM(H303,H310)</f>
        <v>0</v>
      </c>
      <c r="I312" s="1674">
        <f>SUM(I303)</f>
        <v>0</v>
      </c>
      <c r="J312" s="1674">
        <f>SUM(J303)</f>
        <v>0</v>
      </c>
      <c r="K312" s="1674">
        <f>SUM(K303,K310,K311)</f>
        <v>357761</v>
      </c>
      <c r="L312" s="1674">
        <f>SUM(L303,L310,L311)</f>
        <v>370000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192598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246</v>
      </c>
      <c r="F320" s="1574"/>
      <c r="G320" s="1574"/>
      <c r="H320" s="1574"/>
      <c r="I320" s="1574"/>
      <c r="J320" s="1574"/>
      <c r="K320" s="1672">
        <f t="shared" ref="K320:K327" si="24">SUM(C320:J320)</f>
        <v>246</v>
      </c>
      <c r="L320" s="1574">
        <v>70000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1000</v>
      </c>
      <c r="M321" s="539"/>
      <c r="N321" s="539"/>
    </row>
    <row r="322" spans="1:14" s="548" customFormat="1" x14ac:dyDescent="0.2">
      <c r="A322" s="1289" t="s">
        <v>236</v>
      </c>
      <c r="B322" s="567" t="s">
        <v>282</v>
      </c>
      <c r="C322" s="1574"/>
      <c r="D322" s="1574"/>
      <c r="E322" s="1574">
        <v>74613</v>
      </c>
      <c r="F322" s="1574"/>
      <c r="G322" s="1574"/>
      <c r="H322" s="1574"/>
      <c r="I322" s="1574"/>
      <c r="J322" s="1574"/>
      <c r="K322" s="1672">
        <f t="shared" si="24"/>
        <v>74613</v>
      </c>
      <c r="L322" s="1574">
        <v>64000</v>
      </c>
      <c r="M322" s="539"/>
      <c r="N322" s="539"/>
    </row>
    <row r="323" spans="1:14" s="548" customFormat="1" x14ac:dyDescent="0.2">
      <c r="A323" s="1289" t="s">
        <v>697</v>
      </c>
      <c r="B323" s="567" t="s">
        <v>283</v>
      </c>
      <c r="C323" s="1574">
        <v>287436</v>
      </c>
      <c r="D323" s="1574"/>
      <c r="E323" s="1574">
        <v>6815</v>
      </c>
      <c r="F323" s="1574"/>
      <c r="G323" s="1574"/>
      <c r="H323" s="1574"/>
      <c r="I323" s="1574"/>
      <c r="J323" s="1574"/>
      <c r="K323" s="1672">
        <f t="shared" si="24"/>
        <v>294251</v>
      </c>
      <c r="L323" s="1574">
        <v>220000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69646</v>
      </c>
      <c r="F325" s="1574"/>
      <c r="G325" s="1574">
        <v>10494</v>
      </c>
      <c r="H325" s="1574"/>
      <c r="I325" s="1574"/>
      <c r="J325" s="1574"/>
      <c r="K325" s="1672">
        <f t="shared" si="24"/>
        <v>80140</v>
      </c>
      <c r="L325" s="1574">
        <v>80000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24719</v>
      </c>
      <c r="F327" s="1574"/>
      <c r="G327" s="1574"/>
      <c r="H327" s="1574"/>
      <c r="I327" s="1574"/>
      <c r="J327" s="1574"/>
      <c r="K327" s="1672">
        <f t="shared" si="24"/>
        <v>24719</v>
      </c>
      <c r="L327" s="1574">
        <v>40000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287436</v>
      </c>
      <c r="D330" s="1674">
        <f t="shared" ref="D330:J330" si="25">SUM(D319:D329)</f>
        <v>0</v>
      </c>
      <c r="E330" s="1674">
        <f t="shared" si="25"/>
        <v>176039</v>
      </c>
      <c r="F330" s="1674">
        <f t="shared" si="25"/>
        <v>0</v>
      </c>
      <c r="G330" s="1674">
        <f t="shared" si="25"/>
        <v>10494</v>
      </c>
      <c r="H330" s="1674">
        <f t="shared" si="25"/>
        <v>0</v>
      </c>
      <c r="I330" s="1674">
        <f t="shared" si="25"/>
        <v>0</v>
      </c>
      <c r="J330" s="1674">
        <f t="shared" si="25"/>
        <v>0</v>
      </c>
      <c r="K330" s="1674">
        <f>SUM(K319:K329)</f>
        <v>473969</v>
      </c>
      <c r="L330" s="1674">
        <f>SUM(L319:L329)</f>
        <v>475000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287436</v>
      </c>
      <c r="D342" s="1674">
        <f>SUM(D330)</f>
        <v>0</v>
      </c>
      <c r="E342" s="1674">
        <f>SUM(E330)</f>
        <v>176039</v>
      </c>
      <c r="F342" s="1674">
        <f>SUM(F330)</f>
        <v>0</v>
      </c>
      <c r="G342" s="1674">
        <f>SUM(G330)</f>
        <v>10494</v>
      </c>
      <c r="H342" s="1674">
        <f>SUM(H330,H334,H340)</f>
        <v>0</v>
      </c>
      <c r="I342" s="1674">
        <f>SUM(I330)</f>
        <v>0</v>
      </c>
      <c r="J342" s="1674">
        <f>SUM(J330)</f>
        <v>0</v>
      </c>
      <c r="K342" s="1674">
        <f>SUM(K330,K334,K340)</f>
        <v>473969</v>
      </c>
      <c r="L342" s="1681">
        <f>SUM(L330,L334,L340,L341)</f>
        <v>475000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29932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v>3111</v>
      </c>
      <c r="G349" s="1573"/>
      <c r="H349" s="1573"/>
      <c r="I349" s="1574"/>
      <c r="J349" s="1574"/>
      <c r="K349" s="1672">
        <f>SUM(C349:J349)</f>
        <v>3111</v>
      </c>
      <c r="L349" s="1573">
        <v>40000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3111</v>
      </c>
      <c r="G350" s="1674">
        <f t="shared" si="26"/>
        <v>0</v>
      </c>
      <c r="H350" s="1674">
        <f t="shared" si="26"/>
        <v>0</v>
      </c>
      <c r="I350" s="1674">
        <f t="shared" si="26"/>
        <v>0</v>
      </c>
      <c r="J350" s="1674">
        <f t="shared" si="26"/>
        <v>0</v>
      </c>
      <c r="K350" s="1674">
        <f t="shared" si="26"/>
        <v>3111</v>
      </c>
      <c r="L350" s="1674">
        <f t="shared" si="26"/>
        <v>40000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3111</v>
      </c>
      <c r="G352" s="1674">
        <f t="shared" si="27"/>
        <v>0</v>
      </c>
      <c r="H352" s="1674">
        <f t="shared" si="27"/>
        <v>0</v>
      </c>
      <c r="I352" s="1674">
        <f t="shared" si="27"/>
        <v>0</v>
      </c>
      <c r="J352" s="1674">
        <f t="shared" si="27"/>
        <v>0</v>
      </c>
      <c r="K352" s="1674">
        <f t="shared" si="27"/>
        <v>3111</v>
      </c>
      <c r="L352" s="1674">
        <f t="shared" si="27"/>
        <v>40000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3111</v>
      </c>
      <c r="G367" s="1674">
        <f t="shared" si="28"/>
        <v>0</v>
      </c>
      <c r="H367" s="1674">
        <f t="shared" si="28"/>
        <v>0</v>
      </c>
      <c r="I367" s="1674">
        <f t="shared" si="28"/>
        <v>0</v>
      </c>
      <c r="J367" s="1674">
        <f t="shared" si="28"/>
        <v>0</v>
      </c>
      <c r="K367" s="1674">
        <f t="shared" si="28"/>
        <v>3111</v>
      </c>
      <c r="L367" s="1674">
        <f t="shared" si="28"/>
        <v>40000</v>
      </c>
    </row>
    <row r="368" spans="1:14" ht="13.5" thickTop="1" x14ac:dyDescent="0.2">
      <c r="A368" s="2287" t="s">
        <v>989</v>
      </c>
      <c r="B368" s="2288"/>
      <c r="C368" s="1694"/>
      <c r="D368" s="1694"/>
      <c r="E368" s="1677"/>
      <c r="F368" s="1677"/>
      <c r="G368" s="1677"/>
      <c r="H368" s="1677"/>
      <c r="I368" s="1677"/>
      <c r="J368" s="1676"/>
      <c r="K368" s="1672">
        <f>'Revenues 9-14'!K268-'Expenditures 15-22'!K367</f>
        <v>111539</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4d435f69-8686-490b-bd6d-b153bf22ab50"/>
    <ds:schemaRef ds:uri="http://purl.org/dc/elements/1.1/"/>
    <ds:schemaRef ds:uri="http://schemas.microsoft.com/office/2006/documentManagement/types"/>
    <ds:schemaRef ds:uri="http://schemas.openxmlformats.org/package/2006/metadata/core-properties"/>
    <ds:schemaRef ds:uri="6ce3111e-7420-4802-b50a-75d4e9a0b980"/>
    <ds:schemaRef ds:uri="http://schemas.microsoft.com/sharepoint/v3"/>
    <ds:schemaRef ds:uri="http://www.w3.org/XML/1998/namespace"/>
    <ds:schemaRef ds:uri="d21dc803-237d-4c68-8692-8d731fd29118"/>
    <ds:schemaRef ds:uri="http://purl.org/dc/dcmityp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2020-12-10T17:28:18Z</cp:lastPrinted>
  <dcterms:created xsi:type="dcterms:W3CDTF">2003-10-29T19:06:34Z</dcterms:created>
  <dcterms:modified xsi:type="dcterms:W3CDTF">2021-04-27T17:43:03Z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