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35FCE00-A36B-43BA-9D29-DE872FBF2FF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Sheet1" sheetId="185"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8" i="127"/>
  <c r="B69"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J210" i="29" l="1"/>
  <c r="B7072" i="106" s="1"/>
  <c r="D7072" i="106" s="1"/>
  <c r="D69" i="36"/>
  <c r="B6995" i="106"/>
  <c r="D6995" i="106" s="1"/>
  <c r="I210" i="29"/>
  <c r="B7071" i="106" s="1"/>
  <c r="D7071" i="106" s="1"/>
  <c r="C129" i="29"/>
  <c r="F34" i="34"/>
  <c r="B7826" i="106" s="1"/>
  <c r="D7826" i="106" s="1"/>
  <c r="B7696" i="106"/>
  <c r="D7696" i="106" s="1"/>
  <c r="E66" i="184"/>
  <c r="N66" i="184" s="1"/>
  <c r="F36" i="34"/>
  <c r="B7828" i="106" s="1"/>
  <c r="D7828" i="106" s="1"/>
  <c r="B7198" i="106"/>
  <c r="D7198" i="106" s="1"/>
  <c r="E65" i="184"/>
  <c r="N65" i="184" s="1"/>
  <c r="B7162" i="106"/>
  <c r="D7162" i="106" s="1"/>
  <c r="E61" i="184"/>
  <c r="N61" i="184" s="1"/>
  <c r="B7126" i="106"/>
  <c r="D7126" i="106" s="1"/>
  <c r="E57" i="184"/>
  <c r="H365" i="29"/>
  <c r="B7242" i="106" s="1"/>
  <c r="D7242" i="106" s="1"/>
  <c r="H15" i="184"/>
  <c r="B7171" i="106"/>
  <c r="D7171" i="106" s="1"/>
  <c r="E62" i="184"/>
  <c r="N62" i="184" s="1"/>
  <c r="B7135" i="106"/>
  <c r="D7135" i="106" s="1"/>
  <c r="E58" i="184"/>
  <c r="N58" i="184"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L16" i="11"/>
  <c r="B2061" i="106" s="1"/>
  <c r="D2061" i="106" s="1"/>
  <c r="B1381" i="106"/>
  <c r="D1381" i="106" s="1"/>
  <c r="B5527" i="106"/>
  <c r="D5527" i="106" s="1"/>
  <c r="F41" i="108"/>
  <c r="G43" i="108" s="1"/>
  <c r="B6216" i="106"/>
  <c r="D6216" i="106" s="1"/>
  <c r="G170" i="5"/>
  <c r="B5778" i="106" s="1"/>
  <c r="D5778" i="106" s="1"/>
  <c r="E19" i="184"/>
  <c r="E367" i="29"/>
  <c r="B3636" i="106" s="1"/>
  <c r="D3636" i="106" s="1"/>
  <c r="B3635" i="106"/>
  <c r="H19" i="184"/>
  <c r="L20" i="184" s="1"/>
  <c r="N57" i="184"/>
  <c r="N68" i="184" s="1"/>
  <c r="E68" i="184"/>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10" i="4"/>
  <c r="B6225" i="106" s="1"/>
  <c r="D6225" i="106" s="1"/>
  <c r="J20" i="4"/>
  <c r="B6230" i="106" s="1"/>
  <c r="D6230" i="106" s="1"/>
  <c r="F8" i="4"/>
  <c r="F10" i="4" s="1"/>
  <c r="B4125" i="106" s="1"/>
  <c r="D4125"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<sst xmlns="http://schemas.openxmlformats.org/spreadsheetml/2006/main" count="5189" uniqueCount="2112">
  <si>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</si>
  <si>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</si>
  <si>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</si>
  <si>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</si>
  <si>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</si>
  <si>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</si>
  <si>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</si>
  <si>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</si>
  <si>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</si>
  <si>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</si>
  <si>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</si>
  <si>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</si>
  <si>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</si>
  <si>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</si>
  <si>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</si>
  <si>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</si>
  <si>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</si>
  <si>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</si>
  <si>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</si>
  <si>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</si>
  <si>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</si>
  <si>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</si>
  <si>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</si>
  <si>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</si>
  <si>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</si>
  <si>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</si>
  <si>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</si>
  <si>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</si>
  <si>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</si>
  <si>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</si>
  <si>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</si>
  <si>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</si>
  <si>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</si>
  <si>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</si>
  <si>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</si>
  <si>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</si>
  <si>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</si>
  <si>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</si>
  <si>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</si>
  <si>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</si>
  <si>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</si>
  <si>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</si>
  <si>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</si>
  <si>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</si>
  <si>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</si>
  <si>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</si>
  <si>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</si>
  <si>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</si>
  <si>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</si>
  <si>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</si>
  <si>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</si>
  <si>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</si>
  <si>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</si>
  <si>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</si>
  <si>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</si>
  <si>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</si>
  <si>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</si>
  <si>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</si>
  <si>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</si>
  <si>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</si>
  <si>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</si>
  <si>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</si>
  <si>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</si>
  <si>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</si>
  <si>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</si>
  <si>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</si>
  <si>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</si>
  <si>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</si>
  <si>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</si>
  <si>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</si>
  <si>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</si>
  <si>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</si>
  <si>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</si>
  <si>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</si>
  <si>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</si>
  <si>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</si>
  <si>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</si>
  <si>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</si>
  <si>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</si>
  <si>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</si>
  <si>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</si>
  <si>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</si>
  <si>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</si>
  <si>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</si>
  <si>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</si>
  <si>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</si>
  <si>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</si>
  <si>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</si>
  <si>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</si>
  <si>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</si>
  <si>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</si>
  <si>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</si>
  <si>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</si>
  <si>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</si>
  <si>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</si>
  <si>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</si>
  <si>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</si>
  <si>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</si>
  <si>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</si>
  <si>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</si>
  <si>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</si>
  <si>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</si>
  <si>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</si>
  <si>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</si>
  <si>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</si>
  <si>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</si>
  <si>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</si>
  <si>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</si>
  <si>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</si>
  <si>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</si>
  <si>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</si>
  <si>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</si>
  <si>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</si>
  <si>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</si>
  <si>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</si>
  <si>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</si>
  <si>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</si>
  <si>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</si>
  <si>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</si>
  <si>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</si>
  <si>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</si>
  <si>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</si>
  <si>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</si>
  <si>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</si>
  <si>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</si>
  <si>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</si>
  <si>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</si>
  <si>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</si>
  <si>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</si>
  <si>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</si>
  <si>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</si>
  <si>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</si>
  <si>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</si>
  <si>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</si>
  <si>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</si>
  <si>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</si>
  <si>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</si>
  <si>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</si>
  <si>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</si>
  <si>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</si>
  <si>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</si>
  <si>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</si>
  <si>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</si>
  <si>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</si>
  <si>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</si>
  <si>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</si>
  <si>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</si>
  <si>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</si>
  <si>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</si>
  <si>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</si>
  <si>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</si>
  <si>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</si>
  <si>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</si>
  <si>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</si>
  <si>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</si>
  <si>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</si>
  <si>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</si>
  <si>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</si>
  <si>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</si>
  <si>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</si>
  <si>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</si>
  <si>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</si>
  <si>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</si>
  <si>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</si>
  <si>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</si>
  <si>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</si>
  <si>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</si>
  <si>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</si>
  <si>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</si>
  <si>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</si>
  <si>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</si>
  <si>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</si>
  <si>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</si>
  <si>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</si>
  <si>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</si>
  <si>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</si>
  <si>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</si>
  <si>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</si>
  <si>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</si>
  <si>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</si>
  <si>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</si>
  <si>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</si>
  <si>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</si>
  <si>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</si>
  <si>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</si>
  <si>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</si>
  <si>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</si>
  <si>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</si>
  <si>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</si>
  <si>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</si>
  <si>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</si>
  <si>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</si>
  <si>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</si>
  <si>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</si>
  <si>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</si>
  <si>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</si>
  <si>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</si>
  <si>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</si>
  <si>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</si>
  <si>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</si>
  <si>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</si>
  <si>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</si>
  <si>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</si>
  <si>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</si>
  <si>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</si>
  <si>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</si>
  <si>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</si>
  <si>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</si>
  <si>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</si>
  <si>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</si>
  <si>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</si>
  <si>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</si>
  <si>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</si>
  <si>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</si>
  <si>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</si>
  <si>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</si>
  <si>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</si>
  <si>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</si>
  <si>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</si>
  <si>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</si>
  <si>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</si>
  <si>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</si>
  <si>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</si>
  <si>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</si>
  <si>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</si>
  <si>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</si>
  <si>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</si>
  <si>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</si>
  <si>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</si>
  <si>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</si>
  <si>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</si>
  <si>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</si>
  <si>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</si>
  <si>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</si>
  <si>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</si>
  <si>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</si>
  <si>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</si>
  <si>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</si>
  <si>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</si>
  <si>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</si>
  <si>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</si>
  <si>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</si>
  <si>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</si>
  <si>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</si>
  <si>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</si>
  <si>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</si>
  <si>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</si>
  <si>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</si>
  <si>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</si>
  <si>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</si>
  <si>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</si>
  <si>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</si>
  <si>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</si>
  <si>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</si>
  <si>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</si>
  <si>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</si>
  <si>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</si>
  <si>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</si>
  <si>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</si>
  <si>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</si>
  <si>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</si>
  <si>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</si>
  <si>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</si>
  <si>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</si>
  <si>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</si>
  <si>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</si>
  <si>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</si>
  <si>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</si>
  <si>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</si>
  <si>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</si>
  <si>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</si>
  <si>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</si>
  <si>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</si>
  <si>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</si>
  <si>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</si>
  <si>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</si>
  <si>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</si>
  <si>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</si>
  <si>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</si>
  <si>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</si>
  <si>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</si>
  <si>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</si>
  <si>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</si>
  <si>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</si>
  <si>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</si>
  <si>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</si>
  <si>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</si>
  <si>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</si>
  <si>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</si>
  <si>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</si>
  <si>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</si>
  <si>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</si>
  <si>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</si>
  <si>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</si>
  <si>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</si>
  <si>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</si>
  <si>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</si>
  <si>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</si>
  <si>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</si>
  <si>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</si>
  <si>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</si>
  <si>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</si>
  <si>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</si>
  <si>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</si>
  <si>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</si>
  <si>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</si>
  <si>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</si>
  <si>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</si>
  <si>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</si>
  <si>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</si>
  <si>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</si>
  <si>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</si>
  <si>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</si>
  <si>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</si>
  <si>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</si>
  <si>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</si>
  <si>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</si>
  <si>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</si>
  <si>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</si>
  <si>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</si>
  <si>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</si>
  <si>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</si>
  <si>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</si>
  <si>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</si>
  <si>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</si>
  <si>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</si>
  <si>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</si>
  <si>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</si>
  <si>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</si>
  <si>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</si>
  <si>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</si>
  <si>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</si>
  <si>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</si>
  <si>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</si>
  <si>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</si>
  <si>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</si>
  <si>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</si>
  <si>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</si>
  <si>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</si>
  <si>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</si>
  <si>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</si>
  <si>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</si>
  <si>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</si>
  <si>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</si>
  <si>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</si>
  <si>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</si>
  <si>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</si>
  <si>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</si>
  <si>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</si>
  <si>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</si>
  <si>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</si>
  <si>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</si>
  <si>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</si>
  <si>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</si>
  <si>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</si>
  <si>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</si>
  <si>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</si>
  <si>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</si>
  <si>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</si>
  <si>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</si>
  <si>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</si>
  <si>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</si>
  <si>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</si>
  <si>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</si>
  <si>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</si>
  <si>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</si>
  <si>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</si>
  <si>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</si>
  <si>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</si>
  <si>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</si>
  <si>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</si>
  <si>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</si>
  <si>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</si>
  <si>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</si>
  <si>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</si>
  <si>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</si>
  <si>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</si>
  <si>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</si>
  <si>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</si>
  <si>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</si>
  <si>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</si>
  <si>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</si>
  <si>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</si>
  <si>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</si>
  <si>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</si>
  <si>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</si>
  <si>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</si>
  <si>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</si>
  <si>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</si>
  <si>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</si>
  <si>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</si>
  <si>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</si>
  <si>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</si>
  <si>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</si>
  <si>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</si>
  <si>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</si>
  <si>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</si>
  <si>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</si>
  <si>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</si>
  <si>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</si>
  <si>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</si>
  <si>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</si>
  <si>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</si>
  <si>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</si>
  <si>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</si>
  <si>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</si>
  <si>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</si>
  <si>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</si>
  <si>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</si>
  <si>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</si>
  <si>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</si>
  <si>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</si>
  <si>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</si>
  <si>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</si>
  <si>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</si>
  <si>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</si>
  <si>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</si>
  <si>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</si>
  <si>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</si>
  <si>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</si>
  <si>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</si>
  <si>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</si>
  <si>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</si>
  <si>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</si>
  <si>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</si>
  <si>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</si>
  <si>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</si>
  <si>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</si>
  <si>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</si>
  <si>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</si>
  <si>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</si>
  <si>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</si>
  <si>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</si>
  <si>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</si>
  <si>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</si>
  <si>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</si>
  <si>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</si>
  <si>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</si>
  <si>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</si>
  <si>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</si>
  <si>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</si>
  <si>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</si>
  <si>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</si>
  <si>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</si>
  <si>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</si>
  <si>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</si>
  <si>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</si>
  <si>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</si>
  <si>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</si>
  <si>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</si>
  <si>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</si>
  <si>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</si>
  <si>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</si>
  <si>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</si>
  <si>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</si>
  <si>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</si>
  <si>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</si>
  <si>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</si>
  <si>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</si>
  <si>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</si>
  <si>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</si>
  <si>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</si>
  <si>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</si>
  <si>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</si>
  <si>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</si>
  <si>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</si>
  <si>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</si>
  <si>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</si>
  <si>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</si>
  <si>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</si>
  <si>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</si>
  <si>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</si>
  <si>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</si>
  <si>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</si>
  <si>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</si>
  <si>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</si>
  <si>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</si>
  <si>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</si>
  <si>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</si>
  <si>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</si>
  <si>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</si>
  <si>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</si>
  <si>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</si>
  <si>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</si>
  <si>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</si>
  <si>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</si>
  <si>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</si>
  <si>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</si>
  <si>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</si>
  <si>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</si>
  <si>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</si>
  <si>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</si>
  <si>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</si>
  <si>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</si>
  <si>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</si>
  <si>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</si>
  <si>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</si>
  <si>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</si>
  <si>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</si>
  <si>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</si>
  <si>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</si>
  <si>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</si>
  <si>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</si>
  <si>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</si>
  <si>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</si>
  <si>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</si>
  <si>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</si>
  <si>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</si>
  <si>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</si>
  <si>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</si>
  <si>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</si>
  <si>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</si>
  <si>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</si>
  <si>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</si>
  <si>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</si>
  <si>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</si>
  <si>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</si>
  <si>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</si>
  <si>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</si>
  <si>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</si>
  <si>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</si>
  <si>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</si>
  <si>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</si>
  <si>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</si>
  <si>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</si>
  <si>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</si>
  <si>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</si>
  <si>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</si>
  <si>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</si>
  <si>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</si>
  <si>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</si>
  <si>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</si>
  <si>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</si>
  <si>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</si>
  <si>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</si>
  <si>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</si>
  <si>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</si>
  <si>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</si>
  <si>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</si>
  <si>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</si>
  <si>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</si>
  <si>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</si>
  <si>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</si>
  <si>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</si>
  <si>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</si>
  <si>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</si>
  <si>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</si>
  <si>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</si>
  <si>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</si>
  <si>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</si>
  <si>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</si>
  <si>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</si>
  <si>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</si>
  <si>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</si>
  <si>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</si>
  <si>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</si>
  <si>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</si>
  <si>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</si>
  <si>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</si>
  <si>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</si>
  <si>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</si>
  <si>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</si>
  <si>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</si>
  <si>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</si>
  <si>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</si>
  <si>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</si>
  <si>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</si>
  <si>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</si>
  <si>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</si>
  <si>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</si>
  <si>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</si>
  <si>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</si>
  <si>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</si>
  <si>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</si>
  <si>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</si>
  <si>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</si>
  <si>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</si>
  <si>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</si>
  <si>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</si>
  <si>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</si>
  <si>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</si>
  <si>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</si>
  <si>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</si>
  <si>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</si>
  <si>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</si>
  <si>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</si>
  <si>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</si>
  <si>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</si>
  <si>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</si>
  <si>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</si>
  <si>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</si>
  <si>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</si>
  <si>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</si>
  <si>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</si>
  <si>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</si>
  <si>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</si>
  <si>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</si>
  <si>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</si>
  <si>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</si>
  <si>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</si>
  <si>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</si>
  <si>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</si>
  <si>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</si>
  <si>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</si>
  <si>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</si>
  <si>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</si>
  <si>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</si>
  <si>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</si>
  <si>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</si>
  <si>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</si>
  <si>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</si>
  <si>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</si>
  <si>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</si>
  <si>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</si>
  <si>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</si>
  <si>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</si>
  <si>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</si>
  <si>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</si>
  <si>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</si>
  <si>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</si>
  <si>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</si>
  <si>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</si>
  <si>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</si>
  <si>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</si>
  <si>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</si>
  <si>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</si>
  <si>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</si>
  <si>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</si>
  <si>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</si>
  <si>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</si>
  <si>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</si>
  <si>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</si>
  <si>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</si>
  <si>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</si>
  <si>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</si>
  <si>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</si>
  <si>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</si>
  <si>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</si>
  <si>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</si>
  <si>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</si>
  <si>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</si>
  <si>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</si>
  <si>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</si>
  <si>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</si>
  <si>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</si>
  <si>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</si>
  <si>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</si>
  <si>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</si>
  <si>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</si>
  <si>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</si>
  <si>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</si>
  <si>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</si>
  <si>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</si>
  <si>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</si>
  <si>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</si>
  <si>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</si>
  <si>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</si>
  <si>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</si>
  <si>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</si>
  <si>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</si>
  <si>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</si>
  <si>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</si>
  <si>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</si>
  <si>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</si>
  <si>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</si>
  <si>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</si>
  <si>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</si>
  <si>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</si>
  <si>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</si>
  <si>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</si>
  <si>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</si>
  <si>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</si>
  <si>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</si>
  <si>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</si>
  <si>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</si>
  <si>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</si>
  <si>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</si>
  <si>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</si>
  <si>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</si>
  <si>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</si>
  <si>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</si>
  <si>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</si>
  <si>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</si>
  <si>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</si>
  <si>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</si>
  <si>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</si>
  <si>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</si>
  <si>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</si>
  <si>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</si>
  <si>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</si>
  <si>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</si>
  <si>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</si>
  <si>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</si>
  <si>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</si>
  <si>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</si>
  <si>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</si>
  <si>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</si>
  <si>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</si>
  <si>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</si>
  <si>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</si>
  <si>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</si>
  <si>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</si>
  <si>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</si>
  <si>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</si>
  <si>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</si>
  <si>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</si>
  <si>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</si>
  <si>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</si>
  <si>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</si>
  <si>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</si>
  <si>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</si>
  <si>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</si>
  <si>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</si>
  <si>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</si>
  <si>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</si>
  <si>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</si>
  <si>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</si>
  <si>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</si>
  <si>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</si>
  <si>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</si>
  <si>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</si>
  <si>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</si>
  <si>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</si>
  <si>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</si>
  <si>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</si>
  <si>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</si>
  <si>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</si>
  <si>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</si>
  <si>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</si>
  <si>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</si>
  <si>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</si>
  <si>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</si>
  <si>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</si>
  <si>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</si>
  <si>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</si>
  <si>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</si>
  <si>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</si>
  <si>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</si>
  <si>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</si>
  <si>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</si>
  <si>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</si>
  <si>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</si>
  <si>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</si>
  <si>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</si>
  <si>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</si>
  <si>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</si>
  <si>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</si>
  <si>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</si>
  <si>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</si>
  <si>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</si>
  <si>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</si>
  <si>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</si>
  <si>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</si>
  <si>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</si>
  <si>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</si>
  <si>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</si>
  <si>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</si>
  <si>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</si>
  <si>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</si>
  <si>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</si>
  <si>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</si>
  <si>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</si>
  <si>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</si>
  <si>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</si>
  <si>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</si>
  <si>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</si>
  <si>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</si>
  <si>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</si>
  <si>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</si>
  <si>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</si>
  <si>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</si>
  <si>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</si>
  <si>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</si>
  <si>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</si>
  <si>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</si>
  <si>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</si>
  <si>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</si>
  <si>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</si>
  <si>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</si>
  <si>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</si>
  <si>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</si>
  <si>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</si>
  <si>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</si>
  <si>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</si>
  <si>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</si>
  <si>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</si>
  <si>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</si>
  <si>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</si>
  <si>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</si>
  <si>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</si>
  <si>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</si>
  <si>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</si>
  <si>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</si>
  <si>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</si>
  <si>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</si>
  <si>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</si>
  <si>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</si>
  <si>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</si>
  <si>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</si>
  <si>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</si>
  <si>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</si>
  <si>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</si>
  <si>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</si>
  <si>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</si>
  <si>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</si>
  <si>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</si>
  <si>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</si>
  <si>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</si>
  <si>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</si>
  <si>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</si>
  <si>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</si>
  <si>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</si>
  <si>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</si>
  <si>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</si>
  <si>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</si>
  <si>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</si>
  <si>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</si>
  <si>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</si>
  <si>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</si>
  <si>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</si>
  <si>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</si>
  <si>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</si>
  <si>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</si>
  <si>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</si>
  <si>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</si>
  <si>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</si>
  <si>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</si>
  <si>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</si>
  <si>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</si>
  <si>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</si>
  <si>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</si>
  <si>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</si>
  <si>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</si>
  <si>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</si>
  <si>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</si>
  <si>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</si>
  <si>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</si>
  <si>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</si>
  <si>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</si>
  <si>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</si>
  <si>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</si>
  <si>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</si>
  <si>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</si>
  <si>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</si>
  <si>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</si>
  <si>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</si>
  <si>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</si>
  <si>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</si>
  <si>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</si>
  <si>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</si>
  <si>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</si>
  <si>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</si>
  <si>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</si>
  <si>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</si>
  <si>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</si>
  <si>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</si>
  <si>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</si>
  <si>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</si>
  <si>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</si>
  <si>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</si>
  <si>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</si>
  <si>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</si>
  <si>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</si>
  <si>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</si>
  <si>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</si>
  <si>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</si>
  <si>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</si>
  <si>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</si>
  <si>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</si>
  <si>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</si>
  <si>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</si>
  <si>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</si>
  <si>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</si>
  <si>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</si>
  <si>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</si>
  <si>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</si>
  <si>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</si>
  <si>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</si>
  <si>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</si>
  <si>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</si>
  <si>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</si>
  <si>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</si>
  <si>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</si>
  <si>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</si>
  <si>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</si>
  <si>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</si>
  <si>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</si>
  <si>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</si>
  <si>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</si>
  <si>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</si>
  <si>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</si>
  <si>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</si>
  <si>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</si>
  <si>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</si>
  <si>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</si>
  <si>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</si>
  <si>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</si>
  <si>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</si>
  <si>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</si>
  <si>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</si>
  <si>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</si>
  <si>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</si>
  <si>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</si>
  <si>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</si>
  <si>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</si>
  <si>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</si>
  <si>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</si>
  <si>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</si>
  <si>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</si>
  <si>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</si>
  <si>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</si>
  <si>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</si>
  <si>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</si>
  <si>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</si>
  <si>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</si>
  <si>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</si>
  <si>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</si>
  <si>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</si>
  <si>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</si>
  <si>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</si>
  <si>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</si>
  <si>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</si>
  <si>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</si>
  <si>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</si>
  <si>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</si>
  <si>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</si>
  <si>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</si>
  <si>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</si>
  <si>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</si>
  <si>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</si>
  <si>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</si>
  <si>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</si>
  <si>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</si>
  <si>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</si>
  <si>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</si>
  <si>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</si>
  <si>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</si>
  <si>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</si>
  <si>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</si>
  <si>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</si>
  <si>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</si>
  <si>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</si>
  <si>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</si>
  <si>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</si>
  <si>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</si>
  <si>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</si>
  <si>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</si>
  <si>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</si>
  <si>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</si>
  <si>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</si>
  <si>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</si>
  <si>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</si>
  <si>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</si>
  <si>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</si>
  <si>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</si>
  <si>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</si>
  <si>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</si>
  <si>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</si>
  <si>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</si>
  <si>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</si>
  <si>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</si>
  <si>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</si>
  <si>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</si>
  <si>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</si>
  <si>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</si>
  <si>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</si>
  <si>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</si>
  <si>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</si>
  <si>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</si>
  <si>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</si>
  <si>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</si>
  <si>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</si>
  <si>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</si>
  <si>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</si>
  <si>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</si>
  <si>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</si>
  <si>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</si>
  <si>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</si>
  <si>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</si>
  <si>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</si>
  <si>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</si>
  <si>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</si>
  <si>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</si>
  <si>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</si>
  <si>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</si>
  <si>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</si>
  <si>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</si>
  <si>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</si>
  <si>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</si>
  <si>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</si>
  <si>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</si>
  <si>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</si>
  <si>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</si>
  <si>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</si>
  <si>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</si>
  <si>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</si>
  <si>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</si>
  <si>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</si>
  <si>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</si>
  <si>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</si>
  <si>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</si>
  <si>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</si>
  <si>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</si>
  <si>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</si>
  <si>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</si>
  <si>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</si>
  <si>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</si>
  <si>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</si>
  <si>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</si>
  <si>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</si>
  <si>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</si>
  <si>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</si>
  <si>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</si>
  <si>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</si>
  <si>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</si>
  <si>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</si>
  <si>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</si>
  <si>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</si>
  <si>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</si>
  <si>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</si>
  <si>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</si>
  <si>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</si>
  <si>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</si>
  <si>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</si>
  <si>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</si>
  <si>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</si>
  <si>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</si>
  <si>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</si>
  <si>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</si>
  <si>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</si>
  <si>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</si>
  <si>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</si>
  <si>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</si>
  <si>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</si>
  <si>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</si>
  <si>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</si>
  <si>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</si>
  <si>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</si>
  <si>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</si>
  <si>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</si>
  <si>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</si>
  <si>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</si>
  <si>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</si>
  <si>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</si>
  <si>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</si>
  <si>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</si>
  <si>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</si>
  <si>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</si>
  <si>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</si>
  <si>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</si>
  <si>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</si>
  <si>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</si>
  <si>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</si>
  <si>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</si>
  <si>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</si>
  <si>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</si>
  <si>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</si>
  <si>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</si>
  <si>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</si>
  <si>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</si>
  <si>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</si>
  <si>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</si>
  <si>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</si>
  <si>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</si>
  <si>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</si>
  <si>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</si>
  <si>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</si>
  <si>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</si>
  <si>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</si>
  <si>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</si>
  <si>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</si>
  <si>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</si>
  <si>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</si>
  <si>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</si>
  <si>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</si>
  <si>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</si>
  <si>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</si>
  <si>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</si>
  <si>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</si>
  <si>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</si>
  <si>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</si>
  <si>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</si>
  <si>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</si>
  <si>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</si>
  <si>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</si>
  <si>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</si>
  <si>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</si>
  <si>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</si>
  <si>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</si>
  <si>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</si>
  <si>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</si>
  <si>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</si>
  <si>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</si>
  <si>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</si>
  <si>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</si>
  <si>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</si>
  <si>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</si>
  <si>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</si>
  <si>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</si>
  <si>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</si>
  <si>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</si>
  <si>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</si>
  <si>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</si>
  <si>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</si>
  <si>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</si>
  <si>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</si>
  <si>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</si>
  <si>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</si>
  <si>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</si>
  <si>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</si>
  <si>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</si>
  <si>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</si>
  <si>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</si>
  <si>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</si>
  <si>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</si>
  <si>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</si>
  <si>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</si>
  <si>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</si>
  <si>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</si>
  <si>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</si>
  <si>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</si>
  <si>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</si>
  <si>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</si>
  <si>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</si>
  <si>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</si>
  <si>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</si>
  <si>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</si>
  <si>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</si>
  <si>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</si>
  <si>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</si>
  <si>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</si>
  <si>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</si>
  <si>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</si>
  <si>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</si>
  <si>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</si>
  <si>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</si>
  <si>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</si>
  <si>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</si>
  <si>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</si>
  <si>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</si>
  <si>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</si>
  <si>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</si>
  <si>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</si>
  <si>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</si>
  <si>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</si>
  <si>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</si>
  <si>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</si>
  <si>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</si>
  <si>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</si>
  <si>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</si>
  <si>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</si>
  <si>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</si>
  <si>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</si>
  <si>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</si>
  <si>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</si>
  <si>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</si>
  <si>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</si>
  <si>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</si>
  <si>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</si>
  <si>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</si>
  <si>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</si>
  <si>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</si>
  <si>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</si>
  <si>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</si>
  <si>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</si>
  <si>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</si>
  <si>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</si>
  <si>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</si>
  <si>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</si>
  <si>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</si>
  <si>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</si>
  <si>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</si>
  <si>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</si>
  <si>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</si>
  <si>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</si>
  <si>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</si>
  <si>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</si>
  <si>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</si>
  <si>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</si>
  <si>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</si>
  <si>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</si>
  <si>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</si>
  <si>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</si>
  <si>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</si>
  <si>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</si>
  <si>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</si>
  <si>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</si>
  <si>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</si>
  <si>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</si>
  <si>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</si>
  <si>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</si>
  <si>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</si>
  <si>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</si>
  <si>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</si>
  <si>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</si>
  <si>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</si>
  <si>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</si>
  <si>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</si>
  <si>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</si>
  <si>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</si>
  <si>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</si>
  <si>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</si>
  <si>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</si>
  <si>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</si>
  <si>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</si>
  <si>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</si>
  <si>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</si>
  <si>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</si>
  <si>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</si>
  <si>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</si>
  <si>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</si>
  <si>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</si>
  <si>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</si>
  <si>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</si>
  <si>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</si>
  <si>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</si>
  <si>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</si>
  <si>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</si>
  <si>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</si>
  <si>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</si>
  <si>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</si>
  <si>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</si>
  <si>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</si>
  <si>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</si>
  <si>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</si>
  <si>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</si>
  <si>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</si>
  <si>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</si>
  <si>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</si>
  <si>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</si>
  <si>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</si>
  <si>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</si>
  <si>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</si>
  <si>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</si>
  <si>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</si>
  <si>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</si>
  <si>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</si>
  <si>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</si>
  <si>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</si>
  <si>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</si>
  <si>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</si>
  <si>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</si>
  <si>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</si>
  <si>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</si>
  <si>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</si>
  <si>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</si>
  <si>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</si>
  <si>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</si>
  <si>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</si>
  <si>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</si>
  <si>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</si>
  <si>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</si>
  <si>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</si>
  <si>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</si>
  <si>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</si>
  <si>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</si>
  <si>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</si>
  <si>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</si>
  <si>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</si>
  <si>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</si>
  <si>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</si>
  <si>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</si>
  <si>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</si>
  <si>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</si>
  <si>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</si>
  <si>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</si>
  <si>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</si>
  <si>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</si>
  <si>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</si>
  <si>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</si>
  <si>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</si>
  <si>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</si>
  <si>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</si>
  <si>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</si>
  <si>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</si>
  <si>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</si>
  <si>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</si>
  <si>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</si>
  <si>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</si>
  <si>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</si>
  <si>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</si>
  <si>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</si>
  <si>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</si>
  <si>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</si>
  <si>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</si>
  <si>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</si>
  <si>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</si>
  <si>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</si>
  <si>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</si>
  <si>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</si>
  <si>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</si>
  <si>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</si>
  <si>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</si>
  <si>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</si>
  <si>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</si>
  <si>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</si>
  <si>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</si>
  <si>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</si>
  <si>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</si>
  <si>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</si>
  <si>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</si>
  <si>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</si>
  <si>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</si>
  <si>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</si>
  <si>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</si>
  <si>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</si>
  <si>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</si>
  <si>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</si>
  <si>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</si>
  <si>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</si>
  <si>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</si>
  <si>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</si>
  <si>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</si>
  <si>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</si>
  <si>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</si>
  <si>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</si>
  <si>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</si>
  <si>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</si>
  <si>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</si>
  <si>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</si>
  <si>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</si>
  <si>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</si>
  <si>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</si>
  <si>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</si>
  <si>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</si>
  <si>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</si>
  <si>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</si>
  <si>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</si>
  <si>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</si>
  <si>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</si>
  <si>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</si>
  <si>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</si>
  <si>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</si>
  <si>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</si>
  <si>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</si>
  <si>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</si>
  <si>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</si>
  <si>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</si>
  <si>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</si>
  <si>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</si>
  <si>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</si>
  <si>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</si>
  <si>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</si>
  <si>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</si>
  <si>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</si>
  <si>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</si>
  <si>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</si>
  <si>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</si>
  <si>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</si>
  <si>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</si>
  <si>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</si>
  <si>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</si>
  <si>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</si>
  <si>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</si>
  <si>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</si>
  <si>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</si>
  <si>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</si>
  <si>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</si>
  <si>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</si>
  <si>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</si>
  <si>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</si>
  <si>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</si>
  <si>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</si>
  <si>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</si>
  <si>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</si>
  <si>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</si>
  <si>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</si>
  <si>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</si>
  <si>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</si>
  <si>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</si>
  <si>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</si>
  <si>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</si>
  <si>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</si>
  <si>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</si>
  <si>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</si>
  <si>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</si>
  <si>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</si>
  <si>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</si>
  <si>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</si>
  <si>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</si>
  <si>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</si>
  <si>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</si>
  <si>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</si>
  <si>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</si>
  <si>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</si>
  <si>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</si>
  <si>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</si>
  <si>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</si>
  <si>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</si>
  <si>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</si>
  <si>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</si>
  <si>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</si>
  <si>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</si>
  <si>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</si>
  <si>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</si>
  <si>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</si>
  <si>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</si>
  <si>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</si>
  <si>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</si>
  <si>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</si>
  <si>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</si>
  <si>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</si>
  <si>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</si>
  <si>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</si>
  <si>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</si>
  <si>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</si>
  <si>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</si>
  <si>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</si>
  <si>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</si>
  <si>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</si>
  <si>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</si>
  <si>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</si>
  <si>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</si>
  <si>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</si>
  <si>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</si>
  <si>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</si>
  <si>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</si>
  <si>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</si>
  <si>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</si>
  <si>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</si>
  <si>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</si>
  <si>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</si>
  <si>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</si>
  <si>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</si>
  <si>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</si>
  <si>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</si>
  <si>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</si>
  <si>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</si>
  <si>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</si>
  <si>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</si>
  <si>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</si>
  <si>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</si>
  <si>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</si>
  <si>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</si>
  <si>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</si>
  <si>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</si>
  <si>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</si>
  <si>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</si>
  <si>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</si>
  <si>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</si>
  <si>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</si>
  <si>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</si>
  <si>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</si>
  <si>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</si>
  <si>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</si>
  <si>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</si>
  <si>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</si>
  <si>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</si>
  <si>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</si>
  <si>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</si>
  <si>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</si>
  <si>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</si>
  <si>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</si>
  <si>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</si>
  <si>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</si>
  <si>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</si>
  <si>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</si>
  <si>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</si>
  <si>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</si>
  <si>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</si>
  <si>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</si>
  <si>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</si>
  <si>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</si>
  <si>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</si>
  <si>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</si>
  <si>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</si>
  <si>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</si>
  <si>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</si>
  <si>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</si>
  <si>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</si>
  <si>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</si>
  <si>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</si>
  <si>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</si>
  <si>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</si>
  <si>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</si>
  <si>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</si>
  <si>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</si>
  <si>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</si>
  <si>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</si>
  <si>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</si>
  <si>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</si>
  <si>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</si>
  <si>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</si>
  <si>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</si>
  <si>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</si>
  <si>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</si>
  <si>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</si>
  <si>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</si>
  <si>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</si>
  <si>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</si>
  <si>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</si>
  <si>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</si>
  <si>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</si>
  <si>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</si>
  <si>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</si>
  <si>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</si>
  <si>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</si>
  <si>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</si>
  <si>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</si>
  <si>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</si>
  <si>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</si>
  <si>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</si>
  <si>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</si>
  <si>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</si>
  <si>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</si>
  <si>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</si>
  <si>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</si>
  <si>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</si>
  <si>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</si>
  <si>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</si>
  <si>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</si>
  <si>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</si>
  <si>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</si>
  <si>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</si>
  <si>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</si>
  <si>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</si>
  <si>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</si>
  <si>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</si>
  <si>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</si>
  <si>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</si>
  <si>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</si>
  <si>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</si>
  <si>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</si>
  <si>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</si>
  <si>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</si>
  <si>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</si>
  <si>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</si>
  <si>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</si>
  <si>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</si>
  <si>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</si>
  <si>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</si>
  <si>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</si>
  <si>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</si>
  <si>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</si>
  <si>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</si>
  <si>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</si>
  <si>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</si>
  <si>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</si>
  <si>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</si>
  <si>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</si>
  <si>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</si>
  <si>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</si>
  <si>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</si>
  <si>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</si>
  <si>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</si>
  <si>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</si>
  <si>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</si>
  <si>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</si>
  <si>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</si>
  <si>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</si>
  <si>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</si>
  <si>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</si>
  <si>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</si>
  <si>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</si>
  <si>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</si>
  <si>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</si>
  <si>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</si>
  <si>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</si>
  <si>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</si>
  <si>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</si>
  <si>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</si>
  <si>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</si>
  <si>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</si>
  <si>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</si>
  <si>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</si>
  <si>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</si>
  <si>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</si>
  <si>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</si>
  <si>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</si>
  <si>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</si>
  <si>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</si>
  <si>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</si>
  <si>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</si>
  <si>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</si>
  <si>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</si>
  <si>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</si>
  <si>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</si>
  <si>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</si>
  <si>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</si>
  <si>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</si>
  <si>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</si>
  <si>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</si>
  <si>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</si>
  <si>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</si>
  <si>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</si>
  <si>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</si>
  <si>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</si>
  <si>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</si>
  <si>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</si>
  <si>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</si>
  <si>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</si>
  <si>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</si>
  <si>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</si>
  <si>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</si>
  <si>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</si>
  <si>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</si>
  <si>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</si>
  <si>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</si>
  <si>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</si>
  <si>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</si>
  <si>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</si>
  <si>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</si>
  <si>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</si>
  <si>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</si>
  <si>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</si>
  <si>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</si>
  <si>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</si>
  <si>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</si>
  <si>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</si>
  <si>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</si>
  <si>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</si>
  <si>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</si>
  <si>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</si>
  <si>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</si>
  <si>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</si>
  <si>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</si>
  <si>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</si>
  <si>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</si>
  <si>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</si>
  <si>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</si>
  <si>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</si>
  <si>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</si>
  <si>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</si>
  <si>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</si>
  <si>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</si>
  <si>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</si>
  <si>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</si>
  <si>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</si>
  <si>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</si>
  <si>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</si>
  <si>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</si>
  <si>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</si>
  <si>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</si>
  <si>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</si>
  <si>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</si>
  <si>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</si>
  <si>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</si>
  <si>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</si>
  <si>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</si>
  <si>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</si>
  <si>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</si>
  <si>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</si>
  <si>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</si>
  <si>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</si>
  <si>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</si>
  <si>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</si>
  <si>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</si>
  <si>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</si>
  <si>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</si>
  <si>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</si>
  <si>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</si>
  <si>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</si>
  <si>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</si>
  <si>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</si>
  <si>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</si>
  <si>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</si>
  <si>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</si>
  <si>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</si>
  <si>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</si>
  <si>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</si>
  <si>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</si>
  <si>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</si>
  <si>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</si>
  <si>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</si>
  <si>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</si>
  <si>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</si>
  <si>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</si>
  <si>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</si>
  <si>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</si>
  <si>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</si>
  <si>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</si>
  <si>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</si>
  <si>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</si>
  <si>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</si>
  <si>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</si>
  <si>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</si>
  <si>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</si>
  <si>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</si>
  <si>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</si>
  <si>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</si>
  <si>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</si>
  <si>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</si>
  <si>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</si>
  <si>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</si>
  <si>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</si>
  <si>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</si>
  <si>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</si>
  <si>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</si>
  <si>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</si>
  <si>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</si>
  <si>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</si>
  <si>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</si>
  <si>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</si>
  <si>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</si>
  <si>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</si>
  <si>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</si>
  <si>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</si>
  <si>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</si>
  <si>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</si>
  <si>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</si>
  <si>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</si>
  <si>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</si>
  <si>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</si>
  <si>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</si>
  <si>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</si>
  <si>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</si>
  <si>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</si>
  <si>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</si>
  <si>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</si>
  <si>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</si>
  <si>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</si>
  <si>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</si>
  <si>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</si>
  <si>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</si>
  <si>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</si>
  <si>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</si>
  <si>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</si>
  <si>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</si>
  <si>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</si>
  <si>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</si>
  <si>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</si>
  <si>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</si>
  <si>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</si>
  <si>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</si>
  <si>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</si>
  <si>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</si>
  <si>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</si>
  <si>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</si>
  <si>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</si>
  <si>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</si>
  <si>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</si>
  <si>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</si>
  <si>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</si>
  <si>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</si>
  <si>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</si>
  <si>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</si>
  <si>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</si>
  <si>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</si>
  <si>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</si>
  <si>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</si>
  <si>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</si>
  <si>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</si>
  <si>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</si>
  <si>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</si>
  <si>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</si>
  <si>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</si>
  <si>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</si>
  <si>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</si>
  <si>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</si>
  <si>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</si>
  <si>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</si>
  <si>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</si>
  <si>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</si>
  <si>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</si>
  <si>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</si>
  <si>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</si>
  <si>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</si>
  <si>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</si>
  <si>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</si>
  <si>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</si>
  <si>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</si>
  <si>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</si>
  <si>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</si>
  <si>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</si>
  <si>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</si>
  <si>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</si>
  <si>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</si>
  <si>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</si>
  <si>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</si>
  <si>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</si>
  <si>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</si>
  <si>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</si>
  <si>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</si>
  <si>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</si>
  <si>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</si>
  <si>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</si>
  <si>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</si>
  <si>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</si>
  <si>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</si>
  <si>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</si>
  <si>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</si>
  <si>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</si>
  <si>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</si>
  <si>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</si>
  <si>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</si>
  <si>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</si>
  <si>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</si>
  <si>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</si>
  <si>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</si>
  <si>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</si>
  <si>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</si>
  <si>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</si>
  <si>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</si>
  <si>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</si>
  <si>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</si>
  <si>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</si>
  <si>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</si>
  <si>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</si>
  <si>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</si>
  <si>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</si>
  <si>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</si>
  <si>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</si>
  <si>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</si>
  <si>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</si>
  <si>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</si>
  <si>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</si>
  <si>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</si>
  <si>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</si>
  <si>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</si>
  <si>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</si>
  <si>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</si>
  <si>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</si>
  <si>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</si>
  <si>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</si>
  <si>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</si>
  <si>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</si>
  <si>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</si>
  <si>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</si>
  <si>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</si>
  <si>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</si>
  <si>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</si>
  <si>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</si>
  <si>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</si>
  <si>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</si>
  <si>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</si>
  <si>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</si>
  <si>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</si>
  <si>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</si>
  <si>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</si>
  <si>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</si>
  <si>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</si>
  <si>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</si>
  <si>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</si>
  <si>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</si>
  <si>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</si>
  <si>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</si>
  <si>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</si>
  <si>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</si>
  <si>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</si>
  <si>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</si>
  <si>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</si>
  <si>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</si>
  <si>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</si>
  <si>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</si>
  <si>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</si>
  <si>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</si>
  <si>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</si>
  <si>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</si>
  <si>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</si>
  <si>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</si>
  <si>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</si>
  <si>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</si>
  <si>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</si>
  <si>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</si>
  <si>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</si>
  <si>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</si>
  <si>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</si>
  <si>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</si>
  <si>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</si>
  <si>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</si>
  <si>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</si>
  <si>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</si>
  <si>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</si>
  <si>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</si>
  <si>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</si>
  <si>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</si>
  <si>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</si>
  <si>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</si>
  <si>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</si>
  <si>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</si>
  <si>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</si>
  <si>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</si>
  <si>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</si>
  <si>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</si>
  <si>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</si>
  <si>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</si>
  <si>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</si>
  <si>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</si>
  <si>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</si>
  <si>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</si>
  <si>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</si>
  <si>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</si>
  <si>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</si>
  <si>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</si>
  <si>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</si>
  <si>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</si>
  <si>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</si>
  <si>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</si>
  <si>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</si>
  <si>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</si>
  <si>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</si>
  <si>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</si>
  <si>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</si>
  <si>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</si>
  <si>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</si>
  <si>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</si>
  <si>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</si>
  <si>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</si>
  <si>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</si>
  <si>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</si>
  <si>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</si>
  <si>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</si>
  <si>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</si>
  <si>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</si>
  <si>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</si>
  <si>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</si>
  <si>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</si>
  <si>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</si>
  <si>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</si>
  <si>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</si>
  <si>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</si>
  <si>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</si>
  <si>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</si>
  <si>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</si>
  <si>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</si>
  <si>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</si>
  <si>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</si>
  <si>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</si>
  <si>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</si>
  <si>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</si>
  <si>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</si>
  <si>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</si>
  <si>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</si>
  <si>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</si>
  <si>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</si>
  <si>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</si>
  <si>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</si>
  <si>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</si>
  <si>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</si>
  <si>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</si>
  <si>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</si>
  <si>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</si>
  <si>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</si>
  <si>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</si>
  <si>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</si>
  <si>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</si>
  <si>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</si>
  <si>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</si>
  <si>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</si>
  <si>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</si>
  <si>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</si>
  <si>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</si>
  <si>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</si>
  <si>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</si>
  <si>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</si>
  <si>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</si>
  <si>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</si>
  <si>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</si>
  <si>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</si>
  <si>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</si>
  <si>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</si>
  <si>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</si>
  <si>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</si>
  <si>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</si>
  <si>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</si>
  <si>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</si>
  <si>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</si>
  <si>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</si>
  <si>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</si>
  <si>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</si>
  <si>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</si>
  <si>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</si>
  <si>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</si>
  <si>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</si>
  <si>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</si>
  <si>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</si>
  <si>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</si>
  <si>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</si>
  <si>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</si>
  <si>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</si>
  <si>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</si>
  <si>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</si>
  <si>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</si>
  <si>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</si>
  <si>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</si>
  <si>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</si>
  <si>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</si>
  <si>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</si>
  <si>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</si>
  <si>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</si>
  <si>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</si>
  <si>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</si>
  <si>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</si>
  <si>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</si>
  <si>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</si>
  <si>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</si>
  <si>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</si>
  <si>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</si>
  <si>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</si>
  <si>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</si>
  <si>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</si>
  <si>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</si>
  <si>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</si>
  <si>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</si>
  <si>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</si>
  <si>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</si>
  <si>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</si>
  <si>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</si>
  <si>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</si>
  <si>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</si>
  <si>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</si>
  <si>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</si>
  <si>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</si>
  <si>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</si>
  <si>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</si>
  <si>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</si>
  <si>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</si>
  <si>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</si>
  <si>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</si>
  <si>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</si>
  <si>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</si>
  <si>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</si>
  <si>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</si>
  <si>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</si>
  <si>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</si>
  <si>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</si>
  <si>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</si>
  <si>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</si>
  <si>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</si>
  <si>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</si>
  <si>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</si>
  <si>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</si>
  <si>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</si>
  <si>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</si>
  <si>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</si>
  <si>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</si>
  <si>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</si>
  <si>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</si>
  <si>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</si>
  <si>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</si>
  <si>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</si>
  <si>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</si>
  <si>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</si>
  <si>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</si>
  <si>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</si>
  <si>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</si>
  <si>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</si>
  <si>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</si>
  <si>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</si>
  <si>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</si>
  <si>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</si>
  <si>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</si>
  <si>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</si>
  <si>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</si>
  <si>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</si>
  <si>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</si>
  <si>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</si>
  <si>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</si>
  <si>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</si>
  <si>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</si>
  <si>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</si>
  <si>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</si>
  <si>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MACON</t>
  </si>
  <si>
    <t>500 NORTH MAIN STREET P.O. BOX 440</t>
  </si>
  <si>
    <t>ARGENTA</t>
  </si>
  <si>
    <t>MR. DAMIAN JONES</t>
  </si>
  <si>
    <t>djones@argenta-oreana.org</t>
  </si>
  <si>
    <t>217-795-2313</t>
  </si>
  <si>
    <t>217-795-2174</t>
  </si>
  <si>
    <t>FLOYD &amp; ASSOCIATES, CPAs</t>
  </si>
  <si>
    <t>JULIE M. FLOYD, CPA</t>
  </si>
  <si>
    <t>910 STATE HIGHWAY 54 EAST</t>
  </si>
  <si>
    <t>CLINTON</t>
  </si>
  <si>
    <t>IL</t>
  </si>
  <si>
    <t>217-935-8871</t>
  </si>
  <si>
    <t>217-935-5711</t>
  </si>
  <si>
    <t>julie@floydcpas.com</t>
  </si>
  <si>
    <t>X</t>
  </si>
  <si>
    <t>REFUNDING BONDS, SERIES 2012</t>
  </si>
  <si>
    <t>WORKING CASH BONDS, SERIES 2016</t>
  </si>
  <si>
    <t>GENERAL OBLIGATION BONDS, SERIES 2017A</t>
  </si>
  <si>
    <t>2,3</t>
  </si>
  <si>
    <t>Richland Transfer Academy</t>
  </si>
  <si>
    <t>Energy Consortium</t>
  </si>
  <si>
    <t>District #61</t>
  </si>
  <si>
    <t>Macon-Piatt Special Education</t>
  </si>
  <si>
    <t>Heartland Technical Academy</t>
  </si>
  <si>
    <t>Maros-Forsyth CUSD #2-Wrestling; Decatur Christian and Lutheran Schools-Soccer</t>
  </si>
  <si>
    <t>Page 10, Line 74:</t>
  </si>
  <si>
    <t xml:space="preserve">   Education Fund</t>
  </si>
  <si>
    <t xml:space="preserve">      Other Food Payments</t>
  </si>
  <si>
    <t>Page 11, Line 107:</t>
  </si>
  <si>
    <t>Page 10, Line 81:</t>
  </si>
  <si>
    <t xml:space="preserve">   Education Fund </t>
  </si>
  <si>
    <t xml:space="preserve">       Beverage Machine Money</t>
  </si>
  <si>
    <t xml:space="preserve">      Tournament Reimbursement</t>
  </si>
  <si>
    <t xml:space="preserve">      Alternative Beverage</t>
  </si>
  <si>
    <t xml:space="preserve">      Education to Careers</t>
  </si>
  <si>
    <t xml:space="preserve">      ROE Stipends</t>
  </si>
  <si>
    <t xml:space="preserve">      Heartland Grant</t>
  </si>
  <si>
    <t xml:space="preserve">      Athletic Co-op Reimbursement</t>
  </si>
  <si>
    <t xml:space="preserve">      Other Local Revenue</t>
  </si>
  <si>
    <t xml:space="preserve">   Operations &amp; Maintenance Fund</t>
  </si>
  <si>
    <t xml:space="preserve">      Building Rent</t>
  </si>
  <si>
    <t xml:space="preserve">      Parking Fees</t>
  </si>
  <si>
    <t xml:space="preserve">      CLOW Donation</t>
  </si>
  <si>
    <t xml:space="preserve">      Sale of Property</t>
  </si>
  <si>
    <t xml:space="preserve">      Insurance Claim-Storm Damage</t>
  </si>
  <si>
    <t>Page 13, Line 203:</t>
  </si>
  <si>
    <t xml:space="preserve">      Title 1 - School Improvement</t>
  </si>
  <si>
    <t>Page 18, Line 171:</t>
  </si>
  <si>
    <t xml:space="preserve">   Debt Service Fund</t>
  </si>
  <si>
    <t xml:space="preserve">      Bond Fees</t>
  </si>
  <si>
    <t>O&amp;M-Operations Maint-Supplies</t>
  </si>
  <si>
    <t>NextEra Energy Services</t>
  </si>
  <si>
    <t>Constellation Energy</t>
  </si>
  <si>
    <t>O&amp;M-Operations Maint-Purchased Services</t>
  </si>
  <si>
    <t>Prairie Farms Dairy</t>
  </si>
  <si>
    <t>ED-Cafeteria-Supplies</t>
  </si>
  <si>
    <t>Heart Technologies</t>
  </si>
  <si>
    <t>O&amp; M-Operations Maint-Purchased Services</t>
  </si>
  <si>
    <t xml:space="preserve">   Argenta-Oreana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</si>
</sst>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58" fillId="0" borderId="0" xfId="0" applyNumberFormat="1" applyFont="1"/>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2">
        <f>+'AFR20'!F4</f>
        <v>44151</v>
      </c>
      <c r="C2" s="2042"/>
      <c r="D2" s="2043"/>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3"/>
      <c r="K5" s="2073"/>
      <c r="L5" s="2073"/>
      <c r="M5" s="2073"/>
      <c r="N5" s="2073"/>
      <c r="O5" s="2073"/>
      <c r="P5" s="2073"/>
      <c r="Q5" s="2073"/>
      <c r="R5" s="2073"/>
      <c r="S5" s="2073"/>
      <c r="AF5" s="1827"/>
    </row>
    <row r="6" spans="1:32" ht="14.1" customHeight="1" x14ac:dyDescent="0.2">
      <c r="B6" s="101"/>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t="s">
        <v>2051</v>
      </c>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39055001026</v>
      </c>
      <c r="B13" s="2090"/>
      <c r="C13" s="2090"/>
      <c r="D13" s="2090"/>
      <c r="E13" s="2090"/>
      <c r="F13" s="2090"/>
      <c r="G13" s="2090"/>
      <c r="H13" s="2091"/>
      <c r="I13" s="31"/>
      <c r="J13" s="30"/>
      <c r="K13" s="28"/>
      <c r="L13" s="30"/>
      <c r="M13" s="30"/>
      <c r="N13" s="30"/>
      <c r="O13" s="30"/>
      <c r="P13" s="30"/>
      <c r="Q13" s="30"/>
      <c r="R13" s="30"/>
      <c r="S13" s="30"/>
      <c r="T13" s="2094" t="s">
        <v>2059</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7" t="s">
        <v>2052</v>
      </c>
      <c r="B15" s="2092"/>
      <c r="C15" s="2092"/>
      <c r="D15" s="2092"/>
      <c r="E15" s="2092"/>
      <c r="F15" s="2092"/>
      <c r="G15" s="2092"/>
      <c r="H15" s="2093"/>
      <c r="T15" s="2055" t="s">
        <v>2060</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2111</v>
      </c>
      <c r="B17" s="2117"/>
      <c r="C17" s="2117"/>
      <c r="D17" s="2117"/>
      <c r="E17" s="2117"/>
      <c r="F17" s="2117"/>
      <c r="G17" s="2117"/>
      <c r="H17" s="2118"/>
      <c r="T17" s="2104" t="s">
        <v>2061</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2053</v>
      </c>
      <c r="B19" s="2088"/>
      <c r="C19" s="2088"/>
      <c r="D19" s="2088"/>
      <c r="E19" s="2088"/>
      <c r="F19" s="2088"/>
      <c r="G19" s="2088"/>
      <c r="H19" s="2086"/>
      <c r="I19" s="30"/>
      <c r="J19" s="96"/>
      <c r="K19" s="40"/>
      <c r="L19" s="38"/>
      <c r="M19" s="109" t="s">
        <v>312</v>
      </c>
      <c r="P19" s="27"/>
      <c r="Q19" s="27"/>
      <c r="R19" s="27"/>
      <c r="S19" s="31"/>
      <c r="T19" s="2087" t="s">
        <v>2062</v>
      </c>
      <c r="U19" s="2085"/>
      <c r="V19" s="2085"/>
      <c r="W19" s="2086"/>
      <c r="X19" s="2102" t="s">
        <v>2063</v>
      </c>
      <c r="Y19" s="2103"/>
      <c r="Z19" s="2100">
        <v>61727</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2054</v>
      </c>
      <c r="B21" s="2085"/>
      <c r="C21" s="2085"/>
      <c r="D21" s="2085"/>
      <c r="E21" s="2085"/>
      <c r="F21" s="2085"/>
      <c r="G21" s="2085"/>
      <c r="H21" s="2086"/>
      <c r="I21" s="2110" t="s">
        <v>673</v>
      </c>
      <c r="J21" s="2073"/>
      <c r="K21" s="2073"/>
      <c r="L21" s="2073"/>
      <c r="M21" s="2073"/>
      <c r="N21" s="2073"/>
      <c r="O21" s="2073"/>
      <c r="P21" s="2073"/>
      <c r="Q21" s="2073"/>
      <c r="R21" s="2073"/>
      <c r="S21" s="2074"/>
      <c r="T21" s="2052" t="s">
        <v>2064</v>
      </c>
      <c r="U21" s="2053"/>
      <c r="V21" s="2053"/>
      <c r="W21" s="2053"/>
      <c r="X21" s="2066" t="s">
        <v>2065</v>
      </c>
      <c r="Y21" s="2067"/>
      <c r="Z21" s="2067"/>
      <c r="AA21" s="2068"/>
    </row>
    <row r="22" spans="1:27" ht="13.5" customHeight="1" x14ac:dyDescent="0.2">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
      <c r="A23" s="2107"/>
      <c r="B23" s="2108"/>
      <c r="C23" s="2108"/>
      <c r="D23" s="2108"/>
      <c r="E23" s="2108"/>
      <c r="F23" s="2108"/>
      <c r="G23" s="2108"/>
      <c r="H23" s="2109"/>
      <c r="T23" s="2047">
        <v>66.004384999999999</v>
      </c>
      <c r="U23" s="2048"/>
      <c r="V23" s="2048"/>
      <c r="W23" s="2048"/>
      <c r="X23" s="2063">
        <v>44530</v>
      </c>
      <c r="Y23" s="2064"/>
      <c r="Z23" s="2064"/>
      <c r="AA23" s="2065"/>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62501</v>
      </c>
      <c r="B25" s="2085"/>
      <c r="C25" s="2085"/>
      <c r="D25" s="2085"/>
      <c r="E25" s="2085"/>
      <c r="F25" s="2085"/>
      <c r="G25" s="2085"/>
      <c r="H25" s="2086"/>
      <c r="I25" s="110"/>
      <c r="J25" s="2151"/>
      <c r="K25" s="2151"/>
      <c r="L25" s="2151"/>
      <c r="M25" s="2151"/>
      <c r="N25" s="2151"/>
      <c r="O25" s="2151"/>
      <c r="P25" s="2151"/>
      <c r="Q25" s="2151"/>
      <c r="R25" s="2151"/>
      <c r="S25" s="2152"/>
      <c r="T25" s="2044" t="s">
        <v>2066</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2067</v>
      </c>
      <c r="M29" s="40" t="s">
        <v>99</v>
      </c>
      <c r="N29" s="32" t="s">
        <v>1506</v>
      </c>
      <c r="O29" s="32"/>
      <c r="P29" s="32"/>
      <c r="Q29" s="32"/>
      <c r="R29" s="32"/>
      <c r="S29" s="120"/>
      <c r="T29" s="6"/>
      <c r="U29" s="6"/>
      <c r="V29" s="6"/>
      <c r="W29" s="6"/>
      <c r="X29" s="6"/>
      <c r="Y29" s="6"/>
      <c r="Z29" s="6"/>
      <c r="AA29" s="129"/>
    </row>
    <row r="30" spans="1:27" ht="13.5" customHeight="1" x14ac:dyDescent="0.2">
      <c r="A30" s="149"/>
      <c r="B30" s="133" t="s">
        <v>2067</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2055</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3273404</v>
      </c>
      <c r="C4" s="1722"/>
      <c r="D4" s="1723">
        <f>B4-C4</f>
        <v>3273404</v>
      </c>
      <c r="E4" s="1722">
        <v>3325369</v>
      </c>
      <c r="F4" s="1723">
        <f>E4-C4</f>
        <v>3325369</v>
      </c>
    </row>
    <row r="5" spans="1:8" ht="13.7" customHeight="1" x14ac:dyDescent="0.2">
      <c r="A5" s="579" t="s">
        <v>865</v>
      </c>
      <c r="B5" s="1724">
        <f>'Revenues 9-14'!D5</f>
        <v>665325</v>
      </c>
      <c r="C5" s="1664"/>
      <c r="D5" s="1725">
        <f t="shared" ref="D5:D18" si="0">B5-C5</f>
        <v>665325</v>
      </c>
      <c r="E5" s="1664">
        <v>675888</v>
      </c>
      <c r="F5" s="1725">
        <f>E5-C5</f>
        <v>675888</v>
      </c>
    </row>
    <row r="6" spans="1:8" ht="13.7" customHeight="1" x14ac:dyDescent="0.2">
      <c r="A6" s="579" t="s">
        <v>408</v>
      </c>
      <c r="B6" s="1724">
        <f>'Revenues 9-14'!E5</f>
        <v>789188</v>
      </c>
      <c r="C6" s="1664"/>
      <c r="D6" s="1725">
        <f t="shared" si="0"/>
        <v>789188</v>
      </c>
      <c r="E6" s="1664">
        <v>801257</v>
      </c>
      <c r="F6" s="1725">
        <f t="shared" ref="F6:F18" si="1">E6-C6</f>
        <v>801257</v>
      </c>
    </row>
    <row r="7" spans="1:8" ht="13.7" customHeight="1" x14ac:dyDescent="0.2">
      <c r="A7" s="579" t="s">
        <v>154</v>
      </c>
      <c r="B7" s="1724">
        <f>'Revenues 9-14'!F5</f>
        <v>266130</v>
      </c>
      <c r="C7" s="1664"/>
      <c r="D7" s="1725">
        <f t="shared" si="0"/>
        <v>266130</v>
      </c>
      <c r="E7" s="1664">
        <v>270355</v>
      </c>
      <c r="F7" s="1725">
        <f t="shared" si="1"/>
        <v>270355</v>
      </c>
    </row>
    <row r="8" spans="1:8" ht="13.7" customHeight="1" x14ac:dyDescent="0.2">
      <c r="A8" s="579" t="s">
        <v>1169</v>
      </c>
      <c r="B8" s="1724">
        <f>'Revenues 9-14'!G5</f>
        <v>99852</v>
      </c>
      <c r="C8" s="1664"/>
      <c r="D8" s="1725">
        <f t="shared" si="0"/>
        <v>99852</v>
      </c>
      <c r="E8" s="1664">
        <v>100004</v>
      </c>
      <c r="F8" s="1725">
        <f t="shared" si="1"/>
        <v>100004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66532</v>
      </c>
      <c r="C10" s="1664"/>
      <c r="D10" s="1725">
        <f t="shared" si="0"/>
        <v>66532</v>
      </c>
      <c r="E10" s="1664">
        <v>67589</v>
      </c>
      <c r="F10" s="1725">
        <f t="shared" si="1"/>
        <v>67589</v>
      </c>
    </row>
    <row r="11" spans="1:8" x14ac:dyDescent="0.2">
      <c r="A11" s="579" t="s">
        <v>406</v>
      </c>
      <c r="B11" s="1724">
        <f>'Revenues 9-14'!J5</f>
        <v>314499</v>
      </c>
      <c r="C11" s="1664"/>
      <c r="D11" s="1725">
        <f t="shared" si="0"/>
        <v>314499</v>
      </c>
      <c r="E11" s="1664">
        <v>315004</v>
      </c>
      <c r="F11" s="1725">
        <f t="shared" si="1"/>
        <v>315004</v>
      </c>
    </row>
    <row r="12" spans="1:8" ht="13.7" customHeight="1" x14ac:dyDescent="0.2">
      <c r="A12" s="579" t="s">
        <v>156</v>
      </c>
      <c r="B12" s="1724">
        <f>'Revenues 9-14'!K5</f>
        <v>66532</v>
      </c>
      <c r="C12" s="1664"/>
      <c r="D12" s="1725">
        <f t="shared" si="0"/>
        <v>66532</v>
      </c>
      <c r="E12" s="1664">
        <v>67589</v>
      </c>
      <c r="F12" s="1725">
        <f t="shared" si="1"/>
        <v>67589</v>
      </c>
    </row>
    <row r="13" spans="1:8" ht="13.7" customHeight="1" x14ac:dyDescent="0.2">
      <c r="A13" s="579" t="s">
        <v>930</v>
      </c>
      <c r="B13" s="1724">
        <f>SUM('Revenues 9-14'!C6:D6)</f>
        <v>66532</v>
      </c>
      <c r="C13" s="1664"/>
      <c r="D13" s="1725">
        <f t="shared" si="0"/>
        <v>66532</v>
      </c>
      <c r="E13" s="1664">
        <v>67589</v>
      </c>
      <c r="F13" s="1725">
        <f t="shared" si="1"/>
        <v>67589</v>
      </c>
    </row>
    <row r="14" spans="1:8" ht="13.7" customHeight="1" x14ac:dyDescent="0.2">
      <c r="A14" s="579" t="s">
        <v>407</v>
      </c>
      <c r="B14" s="1724">
        <f>SUM('Revenues 9-14'!C7:D7,'Revenues 9-14'!F7:H7)</f>
        <v>53226</v>
      </c>
      <c r="C14" s="1664"/>
      <c r="D14" s="1725">
        <f t="shared" si="0"/>
        <v>53226</v>
      </c>
      <c r="E14" s="1664">
        <v>54071</v>
      </c>
      <c r="F14" s="1725">
        <f t="shared" si="1"/>
        <v>54071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174728</v>
      </c>
      <c r="C16" s="1664"/>
      <c r="D16" s="1725">
        <f t="shared" si="0"/>
        <v>174728</v>
      </c>
      <c r="E16" s="1664">
        <v>175001</v>
      </c>
      <c r="F16" s="1725">
        <f t="shared" si="1"/>
        <v>175001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5835948</v>
      </c>
      <c r="C19" s="1726">
        <f>SUM(C4:C18)</f>
        <v>0</v>
      </c>
      <c r="D19" s="1726">
        <f>SUM(D4:D18)</f>
        <v>5835948</v>
      </c>
      <c r="E19" s="1726">
        <f>SUM(E4:E18)</f>
        <v>5919716</v>
      </c>
      <c r="F19" s="1726">
        <f>SUM(F4:F18)</f>
        <v>5919716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B30" sqref="B3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41153</v>
      </c>
      <c r="C31" s="1734">
        <v>7080000</v>
      </c>
      <c r="D31" s="1735">
        <v>3</v>
      </c>
      <c r="E31" s="1734">
        <v>2640000</v>
      </c>
      <c r="F31" s="1734"/>
      <c r="G31" s="1734"/>
      <c r="H31" s="1734">
        <v>555000</v>
      </c>
      <c r="I31" s="1736">
        <f>((E31+F31)-H31)+G31</f>
        <v>2085000</v>
      </c>
      <c r="J31" s="1734">
        <v>1464561</v>
      </c>
      <c r="K31" s="596"/>
    </row>
    <row r="32" spans="1:11" ht="12" customHeight="1" x14ac:dyDescent="0.2">
      <c r="A32" s="594" t="s">
        <v>2069</v>
      </c>
      <c r="B32" s="595">
        <v>42396</v>
      </c>
      <c r="C32" s="1734">
        <v>2120000</v>
      </c>
      <c r="D32" s="1735">
        <v>1</v>
      </c>
      <c r="E32" s="1734">
        <v>1600000</v>
      </c>
      <c r="F32" s="1734"/>
      <c r="G32" s="1734"/>
      <c r="H32" s="1734">
        <v>380000</v>
      </c>
      <c r="I32" s="1736">
        <f>((E32+F32)-H32)+G32</f>
        <v>1220000</v>
      </c>
      <c r="J32" s="1734">
        <v>1220000</v>
      </c>
      <c r="K32" s="596"/>
    </row>
    <row r="33" spans="1:11" ht="12" customHeight="1" x14ac:dyDescent="0.2">
      <c r="A33" s="594" t="s">
        <v>2070</v>
      </c>
      <c r="B33" s="595">
        <v>43073</v>
      </c>
      <c r="C33" s="1734">
        <v>6800000</v>
      </c>
      <c r="D33" s="1735" t="s">
        <v>2071</v>
      </c>
      <c r="E33" s="1734">
        <v>6800000</v>
      </c>
      <c r="F33" s="1734"/>
      <c r="G33" s="1734"/>
      <c r="H33" s="1734"/>
      <c r="I33" s="1736">
        <f t="shared" ref="I33:I48" si="1">((E33+F33)-H33)+G33</f>
        <v>6800000</v>
      </c>
      <c r="J33" s="1734">
        <v>6800000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16000000</v>
      </c>
      <c r="D49" s="1742"/>
      <c r="E49" s="1736">
        <f t="shared" ref="E49:J49" si="2">SUM(E31:E48)</f>
        <v>11040000</v>
      </c>
      <c r="F49" s="1736">
        <f t="shared" si="2"/>
        <v>0</v>
      </c>
      <c r="G49" s="1736">
        <f t="shared" si="2"/>
        <v>0</v>
      </c>
      <c r="H49" s="1736">
        <f t="shared" si="2"/>
        <v>935000</v>
      </c>
      <c r="I49" s="1736">
        <f t="shared" si="2"/>
        <v>10105000</v>
      </c>
      <c r="J49" s="1736">
        <f t="shared" si="2"/>
        <v>9484561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30" sqref="B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v>792607</v>
      </c>
      <c r="K3" s="1745">
        <v>15479</v>
      </c>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c r="I5" s="1750"/>
      <c r="J5" s="1751"/>
      <c r="K5" s="1751"/>
    </row>
    <row r="6" spans="1:11" x14ac:dyDescent="0.2">
      <c r="A6" s="625" t="s">
        <v>715</v>
      </c>
      <c r="B6" s="626"/>
      <c r="C6" s="626"/>
      <c r="D6" s="626"/>
      <c r="E6" s="627"/>
      <c r="F6" s="628" t="s">
        <v>844</v>
      </c>
      <c r="G6" s="1744"/>
      <c r="H6" s="1744">
        <v>53226</v>
      </c>
      <c r="I6" s="1744"/>
      <c r="J6" s="1745"/>
      <c r="K6" s="1745"/>
    </row>
    <row r="7" spans="1:11" x14ac:dyDescent="0.2">
      <c r="A7" s="629" t="s">
        <v>244</v>
      </c>
      <c r="B7" s="630"/>
      <c r="C7" s="630"/>
      <c r="D7" s="630"/>
      <c r="E7" s="631"/>
      <c r="F7" s="622" t="s">
        <v>845</v>
      </c>
      <c r="G7" s="1746"/>
      <c r="H7" s="1746"/>
      <c r="I7" s="1746"/>
      <c r="J7" s="1752"/>
      <c r="K7" s="1745">
        <v>7898</v>
      </c>
    </row>
    <row r="8" spans="1:11" x14ac:dyDescent="0.2">
      <c r="A8" s="629" t="s">
        <v>342</v>
      </c>
      <c r="B8" s="630"/>
      <c r="C8" s="630"/>
      <c r="D8" s="630"/>
      <c r="E8" s="631"/>
      <c r="F8" s="622" t="s">
        <v>846</v>
      </c>
      <c r="G8" s="1753"/>
      <c r="H8" s="1753"/>
      <c r="I8" s="1753"/>
      <c r="J8" s="1745">
        <v>601020</v>
      </c>
      <c r="K8" s="1748"/>
    </row>
    <row r="9" spans="1:11" x14ac:dyDescent="0.2">
      <c r="A9" s="629" t="s">
        <v>137</v>
      </c>
      <c r="B9" s="630"/>
      <c r="C9" s="630"/>
      <c r="D9" s="630"/>
      <c r="E9" s="631"/>
      <c r="F9" s="628" t="s">
        <v>848</v>
      </c>
      <c r="G9" s="1753"/>
      <c r="H9" s="1749"/>
      <c r="I9" s="1749"/>
      <c r="J9" s="1752"/>
      <c r="K9" s="1745">
        <v>9530</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53226</v>
      </c>
      <c r="I12" s="1755">
        <f>SUM(I5:I11)</f>
        <v>0</v>
      </c>
      <c r="J12" s="1755">
        <f>SUM(J5:J11)</f>
        <v>601020</v>
      </c>
      <c r="K12" s="1755">
        <f>SUM(K5:K11)</f>
        <v>17428</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53226</v>
      </c>
      <c r="I14" s="1749"/>
      <c r="J14" s="1751"/>
      <c r="K14" s="1745">
        <v>15803</v>
      </c>
    </row>
    <row r="15" spans="1:11" x14ac:dyDescent="0.2">
      <c r="A15" s="2322" t="s">
        <v>4</v>
      </c>
      <c r="B15" s="2322"/>
      <c r="C15" s="2322"/>
      <c r="D15" s="2322"/>
      <c r="E15" s="2352"/>
      <c r="F15" s="635" t="s">
        <v>850</v>
      </c>
      <c r="G15" s="1749"/>
      <c r="H15" s="1744"/>
      <c r="I15" s="1744"/>
      <c r="J15" s="1745">
        <v>454759</v>
      </c>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v>525000</v>
      </c>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525000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53226</v>
      </c>
      <c r="I23" s="1755">
        <f>SUM(I14:I16,I21,I22)</f>
        <v>0</v>
      </c>
      <c r="J23" s="1755">
        <f>SUM(J14:J16,J21,J22)</f>
        <v>979759</v>
      </c>
      <c r="K23" s="1755">
        <f>SUM(K14:K16,K21,K22)</f>
        <v>15803</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413868</v>
      </c>
      <c r="K24" s="1767">
        <f>SUM(K3,K12)-K23</f>
        <v>17104</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413868</v>
      </c>
      <c r="K26" s="1755">
        <f>K24-K25</f>
        <v>17104</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0" sqref="B3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75875</v>
      </c>
      <c r="D5" s="1770"/>
      <c r="E5" s="1770"/>
      <c r="F5" s="1765">
        <f>(C5+D5)-E5</f>
        <v>75875</v>
      </c>
      <c r="G5" s="676"/>
      <c r="H5" s="680"/>
      <c r="I5" s="680"/>
      <c r="J5" s="680"/>
      <c r="K5" s="637"/>
      <c r="L5" s="1442">
        <f>F5-K5</f>
        <v>75875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24446094</v>
      </c>
      <c r="D8" s="1771">
        <v>146327</v>
      </c>
      <c r="E8" s="1771"/>
      <c r="F8" s="1765">
        <f>(C8+D8)-E8</f>
        <v>24592421</v>
      </c>
      <c r="G8" s="681">
        <v>50</v>
      </c>
      <c r="H8" s="619">
        <v>8824469</v>
      </c>
      <c r="I8" s="619">
        <v>491180</v>
      </c>
      <c r="J8" s="619"/>
      <c r="K8" s="1442">
        <f>(H8+I8)-J8</f>
        <v>9315649</v>
      </c>
      <c r="L8" s="1442">
        <f>F8-K8</f>
        <v>15276772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5498626</v>
      </c>
      <c r="D10" s="1772">
        <v>348739</v>
      </c>
      <c r="E10" s="1772"/>
      <c r="F10" s="1773">
        <f>(C10+D10)-E10</f>
        <v>5847365</v>
      </c>
      <c r="G10" s="681">
        <v>20</v>
      </c>
      <c r="H10" s="683">
        <v>739282</v>
      </c>
      <c r="I10" s="683">
        <v>282500</v>
      </c>
      <c r="J10" s="683"/>
      <c r="K10" s="1442">
        <f>(H10+I10)-J10</f>
        <v>1021782</v>
      </c>
      <c r="L10" s="1442">
        <f>F10-K10</f>
        <v>4825583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1127011</v>
      </c>
      <c r="D12" s="1771">
        <v>86661</v>
      </c>
      <c r="E12" s="1771"/>
      <c r="F12" s="1765">
        <f>(C12+D12)-E12</f>
        <v>1213672</v>
      </c>
      <c r="G12" s="681">
        <v>10</v>
      </c>
      <c r="H12" s="619">
        <v>710147</v>
      </c>
      <c r="I12" s="619">
        <v>67053</v>
      </c>
      <c r="J12" s="619"/>
      <c r="K12" s="1442">
        <f>(H12+I12)-J12</f>
        <v>777200</v>
      </c>
      <c r="L12" s="1442">
        <f>F12-K12</f>
        <v>436472</v>
      </c>
    </row>
    <row r="13" spans="1:14" ht="14.25" thickTop="1" thickBot="1" x14ac:dyDescent="0.25">
      <c r="A13" s="684" t="s">
        <v>1112</v>
      </c>
      <c r="B13" s="679">
        <v>252</v>
      </c>
      <c r="C13" s="1771">
        <v>152349</v>
      </c>
      <c r="D13" s="1771"/>
      <c r="E13" s="1771"/>
      <c r="F13" s="1765">
        <f>(C13+D13)-E13</f>
        <v>152349</v>
      </c>
      <c r="G13" s="681">
        <v>5</v>
      </c>
      <c r="H13" s="619">
        <v>124705</v>
      </c>
      <c r="I13" s="619">
        <v>19331</v>
      </c>
      <c r="J13" s="619"/>
      <c r="K13" s="1442">
        <f>(H13+I13)-J13</f>
        <v>144036</v>
      </c>
      <c r="L13" s="1442">
        <f>F13-K13</f>
        <v>8313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31299955</v>
      </c>
      <c r="D16" s="1765">
        <f>SUM(D3,D5:D6,D8:D10,D12:D15)</f>
        <v>581727</v>
      </c>
      <c r="E16" s="1765">
        <f>SUM(E3,E5:E6,E8:E10,E12:E15)</f>
        <v>0</v>
      </c>
      <c r="F16" s="1765">
        <f>SUM(F3,F5:F6,F8:F10,F12:F15)</f>
        <v>31881682</v>
      </c>
      <c r="G16" s="681"/>
      <c r="H16" s="1435">
        <f>SUM(H3,H6,H8:H10,H12:H14,)</f>
        <v>10398603</v>
      </c>
      <c r="I16" s="1435">
        <f>SUM(I3,I6,I8:I10,I12:I14,)</f>
        <v>860064</v>
      </c>
      <c r="J16" s="1435">
        <f>SUM(J3,J6,J8:J10,J12:J14,)</f>
        <v>0</v>
      </c>
      <c r="K16" s="1435">
        <f>(H16+I16)-J16</f>
        <v>11258667</v>
      </c>
      <c r="L16" s="1435">
        <f>F16-K16</f>
        <v>20623015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262173</v>
      </c>
      <c r="G17" s="676">
        <v>10</v>
      </c>
      <c r="H17" s="621"/>
      <c r="I17" s="1442">
        <f>F17/G17</f>
        <v>26217.3</v>
      </c>
      <c r="J17" s="621"/>
      <c r="K17" s="638"/>
      <c r="L17" s="638"/>
    </row>
    <row r="18" spans="1:12" ht="14.25" thickTop="1" thickBot="1" x14ac:dyDescent="0.25">
      <c r="A18" s="1440" t="s">
        <v>680</v>
      </c>
      <c r="B18" s="1441"/>
      <c r="C18" s="623"/>
      <c r="D18" s="623"/>
      <c r="E18" s="623"/>
      <c r="F18" s="686"/>
      <c r="G18" s="687"/>
      <c r="H18" s="624"/>
      <c r="I18" s="1435">
        <f>SUM(I16,I17)</f>
        <v>886281.3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459F9-DD99-49AD-9FA5-C99F306C9A51}">
  <dimension ref="A1"/>
  <sheetViews>
    <sheetView workbookViewId="0">
      <selection activeCell="B30" sqref="B30"/>
    </sheetView>
  </sheetViews>
  <sheetFormatPr defaultRowHeight="12.75" x14ac:dyDescent="0.2"/>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31" colorId="8" zoomScale="110" zoomScaleNormal="110" workbookViewId="0">
      <selection activeCell="B30" sqref="B3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6817894</v>
      </c>
      <c r="G8" s="701"/>
    </row>
    <row r="9" spans="1:9" x14ac:dyDescent="0.2">
      <c r="A9" s="705" t="s">
        <v>457</v>
      </c>
      <c r="B9" s="706" t="s">
        <v>1848</v>
      </c>
      <c r="C9" s="707"/>
      <c r="D9" s="705" t="s">
        <v>498</v>
      </c>
      <c r="E9" s="704"/>
      <c r="F9" s="1775">
        <f>'Expenditures 15-22'!K151</f>
        <v>1082723</v>
      </c>
      <c r="G9" s="708"/>
    </row>
    <row r="10" spans="1:9" x14ac:dyDescent="0.2">
      <c r="A10" s="705" t="s">
        <v>496</v>
      </c>
      <c r="B10" s="706" t="s">
        <v>1849</v>
      </c>
      <c r="C10" s="707"/>
      <c r="D10" s="705" t="s">
        <v>498</v>
      </c>
      <c r="E10" s="704"/>
      <c r="F10" s="1775">
        <f>'Expenditures 15-22'!K174</f>
        <v>1309065</v>
      </c>
      <c r="G10" s="708"/>
    </row>
    <row r="11" spans="1:9" x14ac:dyDescent="0.2">
      <c r="A11" s="705" t="s">
        <v>458</v>
      </c>
      <c r="B11" s="706" t="s">
        <v>1850</v>
      </c>
      <c r="C11" s="707"/>
      <c r="D11" s="705" t="s">
        <v>498</v>
      </c>
      <c r="E11" s="704"/>
      <c r="F11" s="1775">
        <f>'Expenditures 15-22'!K210</f>
        <v>658435</v>
      </c>
      <c r="G11" s="708"/>
    </row>
    <row r="12" spans="1:9" x14ac:dyDescent="0.2">
      <c r="A12" s="705" t="s">
        <v>459</v>
      </c>
      <c r="B12" s="706" t="s">
        <v>1851</v>
      </c>
      <c r="C12" s="707"/>
      <c r="D12" s="705" t="s">
        <v>498</v>
      </c>
      <c r="E12" s="704"/>
      <c r="F12" s="1775">
        <f>'Expenditures 15-22'!K295</f>
        <v>256710</v>
      </c>
      <c r="G12" s="708"/>
    </row>
    <row r="13" spans="1:9" x14ac:dyDescent="0.2">
      <c r="A13" s="705" t="s">
        <v>106</v>
      </c>
      <c r="B13" s="706" t="s">
        <v>1852</v>
      </c>
      <c r="C13" s="707"/>
      <c r="D13" s="705" t="s">
        <v>498</v>
      </c>
      <c r="E13" s="704"/>
      <c r="F13" s="1775">
        <f>'Expenditures 15-22'!K342</f>
        <v>271613</v>
      </c>
      <c r="G13" s="709"/>
    </row>
    <row r="14" spans="1:9" ht="12" customHeight="1" thickBot="1" x14ac:dyDescent="0.25">
      <c r="A14" s="1443"/>
      <c r="B14" s="1444"/>
      <c r="C14" s="1445"/>
      <c r="D14" s="1446" t="s">
        <v>498</v>
      </c>
      <c r="E14" s="1447" t="s">
        <v>952</v>
      </c>
      <c r="F14" s="1776">
        <f>SUM(F8:F13)</f>
        <v>10396440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2085</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208807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585185</v>
      </c>
      <c r="G53" s="701"/>
    </row>
    <row r="54" spans="1:7" x14ac:dyDescent="0.2">
      <c r="A54" s="705" t="s">
        <v>456</v>
      </c>
      <c r="B54" s="705" t="s">
        <v>1459</v>
      </c>
      <c r="C54" s="724" t="s">
        <v>975</v>
      </c>
      <c r="D54" s="720" t="s">
        <v>1086</v>
      </c>
      <c r="E54" s="704"/>
      <c r="F54" s="1782">
        <f>'Expenditures 15-22'!G114</f>
        <v>8220</v>
      </c>
      <c r="G54" s="701"/>
    </row>
    <row r="55" spans="1:7" x14ac:dyDescent="0.2">
      <c r="A55" s="705" t="s">
        <v>456</v>
      </c>
      <c r="B55" s="705" t="s">
        <v>1460</v>
      </c>
      <c r="C55" s="724" t="s">
        <v>975</v>
      </c>
      <c r="D55" s="720" t="s">
        <v>288</v>
      </c>
      <c r="E55" s="704"/>
      <c r="F55" s="1782">
        <f>'Expenditures 15-22'!I114</f>
        <v>19593</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123807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935000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242580</v>
      </c>
      <c r="G66" s="701"/>
    </row>
    <row r="67" spans="1:9" x14ac:dyDescent="0.2">
      <c r="A67" s="705" t="s">
        <v>459</v>
      </c>
      <c r="B67" s="705" t="s">
        <v>1863</v>
      </c>
      <c r="C67" s="721" t="str">
        <f>'Expenditures 15-22'!B216</f>
        <v>1125</v>
      </c>
      <c r="D67" s="727" t="str">
        <f>'Expenditures 15-22'!A216</f>
        <v>Pre-K Programs</v>
      </c>
      <c r="E67" s="704"/>
      <c r="F67" s="1782">
        <f>'Expenditures 15-22'!K216</f>
        <v>8441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27682</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2161400</v>
      </c>
      <c r="G77" s="701"/>
    </row>
    <row r="78" spans="1:9" s="728" customFormat="1" ht="12" customHeight="1" thickTop="1" thickBot="1" x14ac:dyDescent="0.25">
      <c r="A78" s="1450"/>
      <c r="B78" s="1448"/>
      <c r="C78" s="1445"/>
      <c r="D78" s="1449" t="s">
        <v>2012</v>
      </c>
      <c r="E78" s="1447"/>
      <c r="F78" s="1788">
        <f>(F14-F77)</f>
        <v>8235040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832</v>
      </c>
      <c r="G79" s="733"/>
      <c r="H79" s="705"/>
      <c r="I79" s="705"/>
    </row>
    <row r="80" spans="1:9" s="728" customFormat="1" ht="12" customHeight="1" thickBot="1" x14ac:dyDescent="0.25">
      <c r="A80" s="1452"/>
      <c r="B80" s="1448"/>
      <c r="C80" s="1445"/>
      <c r="D80" s="1449" t="s">
        <v>2013</v>
      </c>
      <c r="E80" s="1447" t="s">
        <v>952</v>
      </c>
      <c r="F80" s="1790">
        <f>IF(F79&gt;0,F78/F79," Complete Line 79")</f>
        <v>9897.8846153846152</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73778</v>
      </c>
      <c r="G95" s="745"/>
    </row>
    <row r="96" spans="1:7" x14ac:dyDescent="0.2">
      <c r="A96" s="741" t="s">
        <v>139</v>
      </c>
      <c r="B96" s="741" t="s">
        <v>174</v>
      </c>
      <c r="C96" s="743">
        <v>1700</v>
      </c>
      <c r="D96" s="751" t="str">
        <f>'Revenues 9-14'!A82</f>
        <v>Total District/School Activity Income</v>
      </c>
      <c r="E96" s="739"/>
      <c r="F96" s="1793">
        <f>SUM('Revenues 9-14'!C82,'Revenues 9-14'!D82)</f>
        <v>101843</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16436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18329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2745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9530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440013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243201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128798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147923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39434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3108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1275138</v>
      </c>
    </row>
    <row r="176" spans="1:7" ht="12" customHeight="1" x14ac:dyDescent="0.2">
      <c r="A176" s="1443"/>
      <c r="B176" s="1453"/>
      <c r="C176" s="1454"/>
      <c r="D176" s="1455" t="s">
        <v>2014</v>
      </c>
      <c r="E176" s="1456"/>
      <c r="F176" s="1793">
        <f>'PCTC-OEPP 27-28'!F78-F175</f>
        <v>6959902</v>
      </c>
    </row>
    <row r="177" spans="1:9" ht="12" customHeight="1" x14ac:dyDescent="0.2">
      <c r="A177" s="1443"/>
      <c r="B177" s="1453"/>
      <c r="C177" s="1454"/>
      <c r="D177" s="1455" t="s">
        <v>1794</v>
      </c>
      <c r="E177" s="1456"/>
      <c r="F177" s="1793">
        <f>'Cap Outlay Deprec 26'!I18</f>
        <v>886281.3</v>
      </c>
    </row>
    <row r="178" spans="1:9" ht="12" customHeight="1" x14ac:dyDescent="0.2">
      <c r="A178" s="1443"/>
      <c r="B178" s="1453"/>
      <c r="C178" s="1454"/>
      <c r="D178" s="1455" t="s">
        <v>2015</v>
      </c>
      <c r="E178" s="1456"/>
      <c r="F178" s="1793">
        <f>F176+F177</f>
        <v>7846183.2999999998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832</v>
      </c>
      <c r="G179" s="763"/>
      <c r="I179" s="701"/>
    </row>
    <row r="180" spans="1:9" ht="12" customHeight="1" thickBot="1" x14ac:dyDescent="0.25">
      <c r="A180" s="1443"/>
      <c r="B180" s="1457"/>
      <c r="C180" s="1454"/>
      <c r="D180" s="1455" t="s">
        <v>2017</v>
      </c>
      <c r="E180" s="1456" t="s">
        <v>1528</v>
      </c>
      <c r="F180" s="1798">
        <f>F178/F179</f>
        <v>9430.5087740384606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8" t="s">
        <v>2110</v>
      </c>
      <c r="B18" s="1908">
        <v>202540300</v>
      </c>
      <c r="C18" s="2039" t="s">
        <v>2109</v>
      </c>
      <c r="D18" s="1886">
        <v>52063</v>
      </c>
      <c r="E18" s="1906" t="str">
        <f t="shared" ref="E18:E81" si="0">IF(D18&lt;25000,D18,"25,000")</f>
        <v>25,000</v>
      </c>
      <c r="F18" s="1906">
        <f t="shared" ref="F18:F81" si="1">IF(D18&gt;=25000,(D18-E18),"0")</f>
        <v>27063</v>
      </c>
      <c r="G18" s="1887"/>
    </row>
    <row r="19" spans="1:7" x14ac:dyDescent="0.25">
      <c r="A19" s="2037" t="s">
        <v>2103</v>
      </c>
      <c r="B19" s="1908">
        <v>202540400</v>
      </c>
      <c r="C19" s="2036" t="s">
        <v>2104</v>
      </c>
      <c r="D19" s="1886">
        <v>171986</v>
      </c>
      <c r="E19" s="1906" t="str">
        <f t="shared" si="0"/>
        <v>25,000</v>
      </c>
      <c r="F19" s="1906">
        <f t="shared" si="1"/>
        <v>146986</v>
      </c>
    </row>
    <row r="20" spans="1:7" x14ac:dyDescent="0.25">
      <c r="A20" s="2037" t="s">
        <v>2106</v>
      </c>
      <c r="B20" s="1908">
        <v>202540300</v>
      </c>
      <c r="C20" s="2036" t="s">
        <v>2105</v>
      </c>
      <c r="D20" s="1886">
        <v>55378</v>
      </c>
      <c r="E20" s="1906" t="str">
        <f t="shared" si="0"/>
        <v>25,000</v>
      </c>
      <c r="F20" s="1906">
        <f t="shared" si="1"/>
        <v>30378</v>
      </c>
    </row>
    <row r="21" spans="1:7" x14ac:dyDescent="0.25">
      <c r="A21" s="2037" t="s">
        <v>2108</v>
      </c>
      <c r="B21" s="1908">
        <v>102560400</v>
      </c>
      <c r="C21" s="2036" t="s">
        <v>2107</v>
      </c>
      <c r="D21" s="1886">
        <v>33360</v>
      </c>
      <c r="E21" s="1906" t="str">
        <f t="shared" si="0"/>
        <v>25,000</v>
      </c>
      <c r="F21" s="1906">
        <f t="shared" si="1"/>
        <v>8360</v>
      </c>
    </row>
    <row r="22" spans="1:7" x14ac:dyDescent="0.25">
      <c r="A22" s="2037"/>
      <c r="B22" s="1908"/>
      <c r="C22" s="2036"/>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312787</v>
      </c>
      <c r="E142" s="1893">
        <f>SUM(E18:E141)</f>
        <v>0</v>
      </c>
      <c r="F142" s="1894">
        <f>SUM(F18:F141)</f>
        <v>212787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B30" sqref="B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41623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4864643</v>
      </c>
      <c r="F19" s="1802"/>
      <c r="G19" s="1804">
        <f>'Expenditures 15-22'!K33-SUM('Expenditures 15-22'!G33,'Expenditures 15-22'!I33)+'Expenditures 15-22'!D229</f>
        <v>4864643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141074</v>
      </c>
      <c r="F21" s="1805"/>
      <c r="G21" s="1808">
        <f>'Expenditures 15-22'!K42-SUM('Expenditures 15-22'!G42,'Expenditures 15-22'!I42)+'Expenditures 15-22'!K120-SUM('Expenditures 15-22'!G120,'Expenditures 15-22'!I120)+'Expenditures 15-22'!K180-SUM('Expenditures 15-22'!G180,'Expenditures 15-22'!I180)+'Expenditures 15-22'!D238</f>
        <v>141074</v>
      </c>
      <c r="H21" s="817"/>
      <c r="I21" s="157"/>
    </row>
    <row r="22" spans="1:9" s="542" customFormat="1" ht="12" customHeight="1" x14ac:dyDescent="0.2">
      <c r="A22" s="824" t="s">
        <v>560</v>
      </c>
      <c r="B22" s="825"/>
      <c r="C22" s="823">
        <v>2200</v>
      </c>
      <c r="D22" s="1805"/>
      <c r="E22" s="1807">
        <f>'Expenditures 15-22'!K47-SUM('Expenditures 15-22'!G47,'Expenditures 15-22'!I47)+'Expenditures 15-22'!D243</f>
        <v>43954</v>
      </c>
      <c r="F22" s="1805"/>
      <c r="G22" s="1808">
        <f>'Expenditures 15-22'!K47-SUM('Expenditures 15-22'!G47,'Expenditures 15-22'!I47)+'Expenditures 15-22'!D243</f>
        <v>43954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550595</v>
      </c>
      <c r="F23" s="1805"/>
      <c r="G23" s="1807">
        <f>'Expenditures 15-22'!K53-SUM('Expenditures 15-22'!G53,'Expenditures 15-22'!I53)+'Expenditures 15-22'!D257+'Expenditures 15-22'!K330-SUM('Expenditures 15-22'!G330,'Expenditures 15-22'!I330)</f>
        <v>550595</v>
      </c>
      <c r="H23" s="817"/>
      <c r="I23" s="157"/>
    </row>
    <row r="24" spans="1:9" s="542" customFormat="1" ht="12" customHeight="1" x14ac:dyDescent="0.2">
      <c r="A24" s="824" t="s">
        <v>562</v>
      </c>
      <c r="B24" s="825"/>
      <c r="C24" s="823">
        <v>2400</v>
      </c>
      <c r="D24" s="1805"/>
      <c r="E24" s="1807">
        <f>'Expenditures 15-22'!K57-SUM('Expenditures 15-22'!G57,'Expenditures 15-22'!I57)+'Expenditures 15-22'!D261</f>
        <v>651643</v>
      </c>
      <c r="F24" s="1805"/>
      <c r="G24" s="1808">
        <f>'Expenditures 15-22'!K57-SUM('Expenditures 15-22'!G57,'Expenditures 15-22'!I57)+'Expenditures 15-22'!D261</f>
        <v>651643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87023</v>
      </c>
      <c r="E27" s="1807">
        <f>E8</f>
        <v>0</v>
      </c>
      <c r="F27" s="1807">
        <f>'Expenditures 15-22'!K60-SUM('Expenditures 15-22'!G60,'Expenditures 15-22'!I60)+'Expenditures 15-22'!D264-E8</f>
        <v>87023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1007518</v>
      </c>
      <c r="F28" s="1809">
        <f>'Expenditures 15-22'!K61-SUM('Expenditures 15-22'!G61,'Expenditures 15-22'!I61)+'Expenditures 15-22'!K124-SUM('Expenditures 15-22'!G124,'Expenditures 15-22'!I124)+'Expenditures 15-22'!D266-E9</f>
        <v>1007518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447390</v>
      </c>
      <c r="F29" s="1805"/>
      <c r="G29" s="1808">
        <f>'Expenditures 15-22'!K62-SUM('Expenditures 15-22'!G62,'Expenditures 15-22'!I62)+'Expenditures 15-22'!K125-SUM('Expenditures 15-22'!G125,'Expenditures 15-22'!I125)+'Expenditures 15-22'!K182-SUM('Expenditures 15-22'!G182,'Expenditures 15-22'!I182)+'Expenditures 15-22'!D267</f>
        <v>447390</v>
      </c>
      <c r="H29" s="815"/>
    </row>
    <row r="30" spans="1:9" ht="12" customHeight="1" x14ac:dyDescent="0.2">
      <c r="A30" s="824" t="s">
        <v>100</v>
      </c>
      <c r="B30" s="827"/>
      <c r="C30" s="823">
        <v>2560</v>
      </c>
      <c r="D30" s="1805"/>
      <c r="E30" s="1807">
        <f>'Expenditures 15-22'!K63-SUM('Expenditures 15-22'!G63,'Expenditures 15-22'!I63)+'Expenditures 15-22'!D268-E10</f>
        <v>263872</v>
      </c>
      <c r="F30" s="1805"/>
      <c r="G30" s="1807">
        <f>'Expenditures 15-22'!K63-SUM('Expenditures 15-22'!G63,'Expenditures 15-22'!I63)+'Expenditures 15-22'!D268-E10</f>
        <v>263872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22596</v>
      </c>
      <c r="E37" s="1807">
        <f>E14</f>
        <v>0</v>
      </c>
      <c r="F37" s="1807">
        <f>'Expenditures 15-22'!K71-SUM('Expenditures 15-22'!G71,'Expenditures 15-22'!I71)+'Expenditures 15-22'!D276-E14</f>
        <v>22596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-212787</v>
      </c>
      <c r="F40" s="1805"/>
      <c r="G40" s="1809">
        <f>-'Contracts Paid in CY 29'!F142</f>
        <v>-212787</v>
      </c>
    </row>
    <row r="41" spans="1:7" ht="12" customHeight="1" x14ac:dyDescent="0.2">
      <c r="A41" s="828" t="s">
        <v>155</v>
      </c>
      <c r="B41" s="829"/>
      <c r="C41" s="830"/>
      <c r="D41" s="1809">
        <f>SUM(D19:D39)</f>
        <v>109619</v>
      </c>
      <c r="E41" s="1809">
        <f>SUM(E19:E40)</f>
        <v>7757902</v>
      </c>
      <c r="F41" s="1809">
        <f>SUM(F19:F39)</f>
        <v>1117137</v>
      </c>
      <c r="G41" s="1809">
        <f>SUM(G19:G40)</f>
        <v>6750384</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109619</v>
      </c>
      <c r="F43" s="1458" t="s">
        <v>470</v>
      </c>
      <c r="G43" s="1810">
        <f>F41</f>
        <v>1117137</v>
      </c>
    </row>
    <row r="44" spans="1:7" ht="12" customHeight="1" x14ac:dyDescent="0.2">
      <c r="A44" s="817"/>
      <c r="B44" s="157"/>
      <c r="C44" s="831"/>
      <c r="D44" s="1458" t="s">
        <v>471</v>
      </c>
      <c r="E44" s="1810">
        <f>E41</f>
        <v>7757902</v>
      </c>
      <c r="F44" s="1458" t="s">
        <v>471</v>
      </c>
      <c r="G44" s="1810">
        <f>G41</f>
        <v>6750384</v>
      </c>
    </row>
    <row r="45" spans="1:7" ht="12" customHeight="1" x14ac:dyDescent="0.2">
      <c r="A45" s="817"/>
      <c r="B45" s="157"/>
      <c r="C45" s="157"/>
      <c r="D45" s="1459" t="s">
        <v>999</v>
      </c>
      <c r="E45" s="1811">
        <f>(E43/E44)</f>
        <v>1.4129979986857272E-2</v>
      </c>
      <c r="F45" s="1459" t="s">
        <v>999</v>
      </c>
      <c r="G45" s="1811">
        <f>(G43/G44)</f>
        <v>0.16549236310112136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B30" sqref="B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Argenta-Oreana CUSD 1</v>
      </c>
      <c r="D6" s="2407"/>
      <c r="E6" s="2407"/>
      <c r="F6" s="1482"/>
      <c r="G6" s="1507"/>
      <c r="L6" s="1507"/>
      <c r="M6" s="1855"/>
      <c r="N6" s="1855"/>
      <c r="O6" s="1855"/>
    </row>
    <row r="7" spans="1:15" ht="11.25" customHeight="1" thickBot="1" x14ac:dyDescent="0.3">
      <c r="A7" s="1480"/>
      <c r="B7" s="1481"/>
      <c r="C7" s="2408">
        <f>COVER!A13</f>
        <v>39055001026</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2067</v>
      </c>
      <c r="D13" s="1495" t="s">
        <v>2067</v>
      </c>
      <c r="E13" s="1498" t="s">
        <v>2067</v>
      </c>
      <c r="F13" s="1497" t="s">
        <v>2072</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2067</v>
      </c>
      <c r="D15" s="1495" t="s">
        <v>2067</v>
      </c>
      <c r="E15" s="1498" t="s">
        <v>2067</v>
      </c>
      <c r="F15" s="1497" t="s">
        <v>2073</v>
      </c>
      <c r="G15" s="1507"/>
      <c r="H15" s="1507">
        <f t="shared" si="0"/>
        <v>5</v>
      </c>
      <c r="I15" s="1507">
        <f t="shared" si="1"/>
        <v>5</v>
      </c>
      <c r="J15" s="1507">
        <f t="shared" si="2"/>
        <v>5</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2067</v>
      </c>
      <c r="D25" s="1495" t="s">
        <v>2067</v>
      </c>
      <c r="E25" s="1498" t="s">
        <v>2067</v>
      </c>
      <c r="F25" s="1497" t="s">
        <v>2074</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2067</v>
      </c>
      <c r="D26" s="1495" t="s">
        <v>2067</v>
      </c>
      <c r="E26" s="1498" t="s">
        <v>2067</v>
      </c>
      <c r="F26" s="1497" t="s">
        <v>2075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2067</v>
      </c>
      <c r="D31" s="1495" t="s">
        <v>2067</v>
      </c>
      <c r="E31" s="1498" t="s">
        <v>2067</v>
      </c>
      <c r="F31" s="1497" t="s">
        <v>2076</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2067</v>
      </c>
      <c r="D32" s="1495" t="s">
        <v>2067</v>
      </c>
      <c r="E32" s="1498" t="s">
        <v>2067</v>
      </c>
      <c r="F32" s="1497" t="s">
        <v>2077</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30</v>
      </c>
      <c r="K34" s="1507">
        <f>SUM(H34:J34)</f>
        <v>90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K13" sqref="K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3" t="str">
        <f>COVER!A17</f>
        <v xml:space="preserve">   Argenta-Oreana CUSD 1</v>
      </c>
      <c r="K6" s="2423"/>
      <c r="L6" s="2424"/>
      <c r="M6" s="838"/>
      <c r="N6" s="1998"/>
    </row>
    <row r="7" spans="1:14" x14ac:dyDescent="0.2">
      <c r="A7" s="2425" t="s">
        <v>864</v>
      </c>
      <c r="B7" s="2426"/>
      <c r="C7" s="2426"/>
      <c r="D7" s="2426"/>
      <c r="E7" s="2427"/>
      <c r="F7" s="839"/>
      <c r="G7" s="838"/>
      <c r="H7" s="838"/>
      <c r="I7" s="1924" t="s">
        <v>369</v>
      </c>
      <c r="J7" s="2428">
        <f>COVER!A13</f>
        <v>39055001026</v>
      </c>
      <c r="K7" s="2428"/>
      <c r="L7" s="242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9" t="s">
        <v>478</v>
      </c>
      <c r="B11" s="2430"/>
      <c r="C11" s="2431"/>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135746</v>
      </c>
      <c r="F12" s="1942"/>
      <c r="G12" s="1968">
        <f>G68</f>
        <v>26283</v>
      </c>
      <c r="H12" s="1944">
        <f t="shared" ref="H12:H18" si="0">SUM(E12:G12)</f>
        <v>162029</v>
      </c>
      <c r="I12" s="1943">
        <v>141904</v>
      </c>
      <c r="J12" s="1942"/>
      <c r="K12" s="1943">
        <v>27583</v>
      </c>
      <c r="L12" s="1944">
        <f t="shared" ref="L12:L18" si="1">SUM(I12:K12)</f>
        <v>169487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2" t="s">
        <v>7</v>
      </c>
      <c r="C18" s="2433"/>
      <c r="D18" s="243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135746</v>
      </c>
      <c r="F19" s="1950">
        <f t="shared" si="2"/>
        <v>0</v>
      </c>
      <c r="G19" s="1950">
        <f t="shared" ref="G19" si="3">SUM(G12:G17)-G18</f>
        <v>26283</v>
      </c>
      <c r="H19" s="1950">
        <f t="shared" si="2"/>
        <v>162029</v>
      </c>
      <c r="I19" s="1950">
        <f t="shared" si="2"/>
        <v>141904</v>
      </c>
      <c r="J19" s="1950">
        <f t="shared" si="2"/>
        <v>0</v>
      </c>
      <c r="K19" s="1950">
        <f t="shared" si="2"/>
        <v>27583</v>
      </c>
      <c r="L19" s="1950">
        <f t="shared" si="2"/>
        <v>169487</v>
      </c>
      <c r="M19" s="838"/>
      <c r="N19" s="1998"/>
    </row>
    <row r="20" spans="1:14" ht="13.5" thickTop="1" x14ac:dyDescent="0.2">
      <c r="A20" s="2003">
        <v>9</v>
      </c>
      <c r="B20" s="2435" t="s">
        <v>2021</v>
      </c>
      <c r="C20" s="2435"/>
      <c r="D20" s="2436"/>
      <c r="E20" s="1951"/>
      <c r="F20" s="1951"/>
      <c r="G20" s="1951"/>
      <c r="H20" s="1951"/>
      <c r="I20" s="1951"/>
      <c r="J20" s="1951"/>
      <c r="K20" s="1951"/>
      <c r="L20" s="1952">
        <f>IF(AND(H19&gt;0,L19&gt;0),(((L19-H19)/H19)),"Enter Budget Data")</f>
        <v>4.6028797314061065E-2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7"/>
      <c r="D27" s="2437"/>
      <c r="E27" s="843"/>
      <c r="F27" s="2438"/>
      <c r="G27" s="2438"/>
      <c r="H27" s="2438"/>
      <c r="I27" s="838"/>
      <c r="J27" s="838"/>
      <c r="K27" s="838"/>
      <c r="L27" s="838"/>
      <c r="M27" s="838"/>
      <c r="N27" s="1998"/>
    </row>
    <row r="28" spans="1:14" x14ac:dyDescent="0.2">
      <c r="A28" s="1997"/>
      <c r="B28" s="2007"/>
      <c r="C28" s="1957" t="s">
        <v>1026</v>
      </c>
      <c r="D28" s="844"/>
      <c r="E28" s="1958"/>
      <c r="F28" s="2439" t="s">
        <v>1492</v>
      </c>
      <c r="G28" s="2439"/>
      <c r="H28" s="2439"/>
      <c r="I28" s="838"/>
      <c r="J28" s="838"/>
      <c r="K28" s="838"/>
      <c r="L28" s="838"/>
      <c r="M28" s="838"/>
      <c r="N28" s="1998"/>
    </row>
    <row r="29" spans="1:14" x14ac:dyDescent="0.2">
      <c r="A29" s="1997"/>
      <c r="B29" s="2007"/>
      <c r="C29" s="2440"/>
      <c r="D29" s="2440"/>
      <c r="E29" s="845"/>
      <c r="F29" s="2440"/>
      <c r="G29" s="2440"/>
      <c r="H29" s="2440"/>
      <c r="I29" s="838"/>
      <c r="J29" s="838"/>
      <c r="K29" s="838"/>
      <c r="L29" s="838"/>
      <c r="M29" s="838"/>
      <c r="N29" s="1998"/>
    </row>
    <row r="30" spans="1:14" x14ac:dyDescent="0.2">
      <c r="A30" s="1997"/>
      <c r="B30" s="2007"/>
      <c r="C30" s="1960" t="s">
        <v>1544</v>
      </c>
      <c r="D30" s="838"/>
      <c r="E30" s="1959"/>
      <c r="F30" s="2422" t="s">
        <v>1493</v>
      </c>
      <c r="G30" s="2422"/>
      <c r="H30" s="242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3" t="s">
        <v>2024</v>
      </c>
      <c r="D34" s="2444"/>
      <c r="E34" s="2444"/>
      <c r="F34" s="2444"/>
      <c r="G34" s="2444"/>
      <c r="H34" s="2444"/>
      <c r="I34" s="2444"/>
      <c r="J34" s="2444"/>
      <c r="K34" s="2016"/>
      <c r="L34" s="838"/>
      <c r="M34" s="838"/>
      <c r="N34" s="1998"/>
    </row>
    <row r="35" spans="1:14" x14ac:dyDescent="0.2">
      <c r="A35" s="1997"/>
      <c r="B35" s="838"/>
      <c r="C35" s="2444"/>
      <c r="D35" s="2444"/>
      <c r="E35" s="2444"/>
      <c r="F35" s="2444"/>
      <c r="G35" s="2444"/>
      <c r="H35" s="2444"/>
      <c r="I35" s="2444"/>
      <c r="J35" s="244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3" t="s">
        <v>2025</v>
      </c>
      <c r="D37" s="2444"/>
      <c r="E37" s="2444"/>
      <c r="F37" s="2444"/>
      <c r="G37" s="2444"/>
      <c r="H37" s="2444"/>
      <c r="I37" s="2444"/>
      <c r="J37" s="2444"/>
      <c r="K37" s="2016"/>
      <c r="L37" s="2018"/>
      <c r="M37" s="838"/>
      <c r="N37" s="1998"/>
    </row>
    <row r="38" spans="1:14" x14ac:dyDescent="0.2">
      <c r="A38" s="1997"/>
      <c r="B38" s="838"/>
      <c r="C38" s="2444"/>
      <c r="D38" s="2444"/>
      <c r="E38" s="2444"/>
      <c r="F38" s="2444"/>
      <c r="G38" s="2444"/>
      <c r="H38" s="2444"/>
      <c r="I38" s="2444"/>
      <c r="J38" s="244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5" t="s">
        <v>2026</v>
      </c>
      <c r="D40" s="2446"/>
      <c r="E40" s="2446"/>
      <c r="F40" s="2446"/>
      <c r="G40" s="2446"/>
      <c r="H40" s="2446"/>
      <c r="I40" s="2446"/>
      <c r="J40" s="244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3" t="str">
        <f>J6</f>
        <v xml:space="preserve">   Argenta-Oreana CUSD 1</v>
      </c>
      <c r="M52" s="2423"/>
      <c r="N52" s="2453"/>
    </row>
    <row r="53" spans="1:14" x14ac:dyDescent="0.2">
      <c r="A53" s="1982"/>
      <c r="B53" s="1983"/>
      <c r="C53" s="1983"/>
      <c r="D53" s="1983"/>
      <c r="E53" s="1983"/>
      <c r="F53" s="1983"/>
      <c r="G53" s="1983"/>
      <c r="H53" s="1983"/>
      <c r="I53" s="1983"/>
      <c r="J53" s="1983"/>
      <c r="K53" s="1924" t="s">
        <v>369</v>
      </c>
      <c r="L53" s="2428">
        <f>J7</f>
        <v>39055001026</v>
      </c>
      <c r="M53" s="2428"/>
      <c r="N53" s="245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5"/>
      <c r="B55" s="2456"/>
      <c r="C55" s="2456"/>
      <c r="D55" s="1970"/>
      <c r="E55" s="1970"/>
      <c r="F55" s="1970"/>
      <c r="G55" s="2457" t="s">
        <v>2030</v>
      </c>
      <c r="H55" s="2457"/>
      <c r="I55" s="2457"/>
      <c r="J55" s="2457"/>
      <c r="K55" s="2457"/>
      <c r="L55" s="2457"/>
      <c r="M55" s="2457"/>
      <c r="N55" s="2458"/>
    </row>
    <row r="56" spans="1:14" ht="63.75" x14ac:dyDescent="0.2">
      <c r="A56" s="2459" t="s">
        <v>2031</v>
      </c>
      <c r="B56" s="2460"/>
      <c r="C56" s="2461"/>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2" t="s">
        <v>296</v>
      </c>
      <c r="B57" s="2463"/>
      <c r="C57" s="246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1" t="s">
        <v>2041</v>
      </c>
      <c r="B58" s="2442"/>
      <c r="C58" s="2442"/>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4" t="s">
        <v>297</v>
      </c>
      <c r="B59" s="2465"/>
      <c r="C59" s="2465"/>
      <c r="D59" s="1967">
        <v>2363</v>
      </c>
      <c r="E59" s="1977">
        <f>'Expenditures 15-22'!K321</f>
        <v>1158</v>
      </c>
      <c r="F59" s="1972"/>
      <c r="G59" s="2031"/>
      <c r="H59" s="2032"/>
      <c r="I59" s="2032"/>
      <c r="J59" s="2032"/>
      <c r="K59" s="2032"/>
      <c r="L59" s="2032"/>
      <c r="M59" s="2032">
        <v>1158</v>
      </c>
      <c r="N59" s="1975">
        <f>IF((SUM(G59:M59))=E59,SUM(G59:M59),"Column N does not agree with Column E")</f>
        <v>1158</v>
      </c>
    </row>
    <row r="60" spans="1:14" ht="24" customHeight="1" x14ac:dyDescent="0.2">
      <c r="A60" s="2464" t="s">
        <v>236</v>
      </c>
      <c r="B60" s="2465"/>
      <c r="C60" s="2465"/>
      <c r="D60" s="1967">
        <v>2364</v>
      </c>
      <c r="E60" s="1977">
        <f>'Expenditures 15-22'!K322</f>
        <v>174813</v>
      </c>
      <c r="F60" s="1972"/>
      <c r="G60" s="2031"/>
      <c r="H60" s="2032"/>
      <c r="I60" s="2032"/>
      <c r="J60" s="2032"/>
      <c r="K60" s="2032"/>
      <c r="L60" s="2032"/>
      <c r="M60" s="2032">
        <v>174813</v>
      </c>
      <c r="N60" s="1975">
        <f t="shared" ref="N60:N67" si="4">IF((SUM(G60:M60))=E60,SUM(G60:M60),"Column N does not agree with Column E")</f>
        <v>174813</v>
      </c>
    </row>
    <row r="61" spans="1:14" ht="24.75" customHeight="1" x14ac:dyDescent="0.2">
      <c r="A61" s="2464" t="s">
        <v>697</v>
      </c>
      <c r="B61" s="2465"/>
      <c r="C61" s="2465"/>
      <c r="D61" s="1967">
        <v>2365</v>
      </c>
      <c r="E61" s="1977">
        <f>'Expenditures 15-22'!K323</f>
        <v>49528</v>
      </c>
      <c r="F61" s="1972"/>
      <c r="G61" s="2031">
        <v>26283</v>
      </c>
      <c r="H61" s="2032"/>
      <c r="I61" s="2032"/>
      <c r="J61" s="2032"/>
      <c r="K61" s="2032"/>
      <c r="L61" s="2032"/>
      <c r="M61" s="2032">
        <v>23245</v>
      </c>
      <c r="N61" s="1975">
        <f t="shared" si="4"/>
        <v>49528</v>
      </c>
    </row>
    <row r="62" spans="1:14" ht="24" customHeight="1" x14ac:dyDescent="0.2">
      <c r="A62" s="2464" t="s">
        <v>237</v>
      </c>
      <c r="B62" s="2465"/>
      <c r="C62" s="2465"/>
      <c r="D62" s="1967">
        <v>2366</v>
      </c>
      <c r="E62" s="1977">
        <f>'Expenditures 15-22'!K324</f>
        <v>0</v>
      </c>
      <c r="F62" s="1972"/>
      <c r="G62" s="2031"/>
      <c r="H62" s="2032"/>
      <c r="I62" s="2032"/>
      <c r="J62" s="2032"/>
      <c r="K62" s="2032"/>
      <c r="L62" s="2032"/>
      <c r="M62" s="2032"/>
      <c r="N62" s="1975">
        <f t="shared" si="4"/>
        <v>0</v>
      </c>
    </row>
    <row r="63" spans="1:14" ht="24" customHeight="1" x14ac:dyDescent="0.2">
      <c r="A63" s="2441" t="s">
        <v>1022</v>
      </c>
      <c r="B63" s="2442"/>
      <c r="C63" s="2442"/>
      <c r="D63" s="1967">
        <v>2367</v>
      </c>
      <c r="E63" s="1977">
        <f>'Expenditures 15-22'!K325</f>
        <v>40391</v>
      </c>
      <c r="F63" s="1972"/>
      <c r="G63" s="2031"/>
      <c r="H63" s="2032"/>
      <c r="I63" s="2032"/>
      <c r="J63" s="2032"/>
      <c r="K63" s="2032"/>
      <c r="L63" s="2032"/>
      <c r="M63" s="2032">
        <v>40391</v>
      </c>
      <c r="N63" s="1975">
        <f t="shared" si="4"/>
        <v>40391</v>
      </c>
    </row>
    <row r="64" spans="1:14" ht="24" customHeight="1" x14ac:dyDescent="0.2">
      <c r="A64" s="2464" t="s">
        <v>1023</v>
      </c>
      <c r="B64" s="2465"/>
      <c r="C64" s="2465"/>
      <c r="D64" s="1967">
        <v>2368</v>
      </c>
      <c r="E64" s="1977">
        <f>'Expenditures 15-22'!K326</f>
        <v>0</v>
      </c>
      <c r="F64" s="1972"/>
      <c r="G64" s="2031"/>
      <c r="H64" s="2032"/>
      <c r="I64" s="2032"/>
      <c r="J64" s="2032"/>
      <c r="K64" s="2032"/>
      <c r="L64" s="2032"/>
      <c r="M64" s="2032"/>
      <c r="N64" s="1975">
        <f t="shared" si="4"/>
        <v>0</v>
      </c>
    </row>
    <row r="65" spans="1:14" ht="24" customHeight="1" x14ac:dyDescent="0.2">
      <c r="A65" s="2464" t="s">
        <v>965</v>
      </c>
      <c r="B65" s="2465"/>
      <c r="C65" s="2465"/>
      <c r="D65" s="1967">
        <v>2369</v>
      </c>
      <c r="E65" s="1977">
        <f>'Expenditures 15-22'!K327</f>
        <v>5723</v>
      </c>
      <c r="F65" s="1972"/>
      <c r="G65" s="2031"/>
      <c r="H65" s="2032"/>
      <c r="I65" s="2032"/>
      <c r="J65" s="2032"/>
      <c r="K65" s="2032"/>
      <c r="L65" s="2032"/>
      <c r="M65" s="2032">
        <v>5723</v>
      </c>
      <c r="N65" s="1975">
        <f t="shared" si="4"/>
        <v>5723</v>
      </c>
    </row>
    <row r="66" spans="1:14" ht="24" customHeight="1" x14ac:dyDescent="0.2">
      <c r="A66" s="2464" t="s">
        <v>469</v>
      </c>
      <c r="B66" s="2465"/>
      <c r="C66" s="2465"/>
      <c r="D66" s="1967">
        <v>2371</v>
      </c>
      <c r="E66" s="1977">
        <f>'Expenditures 15-22'!K328</f>
        <v>0</v>
      </c>
      <c r="F66" s="1972"/>
      <c r="G66" s="2031"/>
      <c r="H66" s="2032"/>
      <c r="I66" s="2032"/>
      <c r="J66" s="2032"/>
      <c r="K66" s="2032"/>
      <c r="L66" s="2032"/>
      <c r="M66" s="2032"/>
      <c r="N66" s="1975">
        <f t="shared" si="4"/>
        <v>0</v>
      </c>
    </row>
    <row r="67" spans="1:14" ht="24.75" customHeight="1" x14ac:dyDescent="0.2">
      <c r="A67" s="2466" t="s">
        <v>2042</v>
      </c>
      <c r="B67" s="2467"/>
      <c r="C67" s="2467"/>
      <c r="D67" s="1969">
        <v>2372</v>
      </c>
      <c r="E67" s="1978">
        <f>'Expenditures 15-22'!K329</f>
        <v>0</v>
      </c>
      <c r="F67" s="1972"/>
      <c r="G67" s="2033"/>
      <c r="H67" s="2034"/>
      <c r="I67" s="2034"/>
      <c r="J67" s="2034"/>
      <c r="K67" s="2034"/>
      <c r="L67" s="2034"/>
      <c r="M67" s="2034"/>
      <c r="N67" s="1975">
        <f t="shared" si="4"/>
        <v>0</v>
      </c>
    </row>
    <row r="68" spans="1:14" x14ac:dyDescent="0.2">
      <c r="A68" s="2468" t="s">
        <v>1151</v>
      </c>
      <c r="B68" s="2469"/>
      <c r="C68" s="2469"/>
      <c r="D68" s="1970"/>
      <c r="E68" s="1974">
        <f>SUM(E57:E67)</f>
        <v>271613</v>
      </c>
      <c r="F68" s="1973"/>
      <c r="G68" s="1974">
        <f t="shared" ref="G68:N68" si="5">SUM(G57:G67)</f>
        <v>26283</v>
      </c>
      <c r="H68" s="1974">
        <f t="shared" si="5"/>
        <v>0</v>
      </c>
      <c r="I68" s="1974">
        <f t="shared" si="5"/>
        <v>0</v>
      </c>
      <c r="J68" s="1974">
        <f t="shared" si="5"/>
        <v>0</v>
      </c>
      <c r="K68" s="1974">
        <f t="shared" si="5"/>
        <v>0</v>
      </c>
      <c r="L68" s="1974">
        <f t="shared" si="5"/>
        <v>0</v>
      </c>
      <c r="M68" s="1974">
        <f t="shared" si="5"/>
        <v>245330</v>
      </c>
      <c r="N68" s="1988">
        <f t="shared" si="5"/>
        <v>271613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0" sqref="B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9"/>
  <sheetViews>
    <sheetView showGridLines="0" zoomScale="110" zoomScaleNormal="110" workbookViewId="0">
      <selection activeCell="B30" sqref="B30"/>
    </sheetView>
  </sheetViews>
  <sheetFormatPr defaultRowHeight="12.75" x14ac:dyDescent="0.2"/>
  <cols>
    <col min="1" max="1" width="3" style="307" customWidth="1"/>
    <col min="2" max="2" width="48.140625" style="307" customWidth="1"/>
    <col min="3" max="3" width="2" style="307" customWidth="1"/>
    <col min="4" max="16384" width="9.140625" style="307"/>
  </cols>
  <sheetData>
    <row r="2" spans="1:4" x14ac:dyDescent="0.2">
      <c r="A2" s="366" t="s">
        <v>256</v>
      </c>
    </row>
    <row r="3" spans="1:4" x14ac:dyDescent="0.2">
      <c r="A3" s="307" t="s">
        <v>257</v>
      </c>
    </row>
    <row r="5" spans="1:4" x14ac:dyDescent="0.2">
      <c r="A5" s="847">
        <v>1</v>
      </c>
      <c r="B5" s="307" t="s">
        <v>2078</v>
      </c>
    </row>
    <row r="6" spans="1:4" x14ac:dyDescent="0.2">
      <c r="A6" s="847">
        <v>2</v>
      </c>
      <c r="B6" s="307" t="s">
        <v>2079</v>
      </c>
    </row>
    <row r="7" spans="1:4" x14ac:dyDescent="0.2">
      <c r="A7" s="847">
        <v>3</v>
      </c>
      <c r="B7" s="307" t="s">
        <v>2080</v>
      </c>
      <c r="C7" s="307" t="s">
        <v>952</v>
      </c>
      <c r="D7" s="2035">
        <v>1512</v>
      </c>
    </row>
    <row r="8" spans="1:4" x14ac:dyDescent="0.2">
      <c r="A8" s="847">
        <v>4</v>
      </c>
    </row>
    <row r="9" spans="1:4" x14ac:dyDescent="0.2">
      <c r="A9" s="847"/>
      <c r="B9" s="307" t="s">
        <v>2082</v>
      </c>
    </row>
    <row r="10" spans="1:4" x14ac:dyDescent="0.2">
      <c r="A10" s="847"/>
      <c r="B10" s="307" t="s">
        <v>2083</v>
      </c>
    </row>
    <row r="11" spans="1:4" x14ac:dyDescent="0.2">
      <c r="A11" s="847"/>
      <c r="B11" s="307" t="s">
        <v>2084</v>
      </c>
      <c r="D11" s="2035">
        <v>1314</v>
      </c>
    </row>
    <row r="12" spans="1:4" x14ac:dyDescent="0.2">
      <c r="A12" s="847"/>
    </row>
    <row r="13" spans="1:4" x14ac:dyDescent="0.2">
      <c r="A13" s="848"/>
      <c r="B13" s="307" t="s">
        <v>2081</v>
      </c>
    </row>
    <row r="14" spans="1:4" x14ac:dyDescent="0.2">
      <c r="A14" s="848"/>
      <c r="B14" s="307" t="s">
        <v>2079</v>
      </c>
    </row>
    <row r="15" spans="1:4" x14ac:dyDescent="0.2">
      <c r="A15" s="848"/>
      <c r="B15" s="307" t="s">
        <v>2085</v>
      </c>
      <c r="D15" s="2035">
        <v>3945</v>
      </c>
    </row>
    <row r="16" spans="1:4" x14ac:dyDescent="0.2">
      <c r="A16" s="848"/>
      <c r="B16" s="307" t="s">
        <v>2086</v>
      </c>
      <c r="D16" s="307">
        <v>451</v>
      </c>
    </row>
    <row r="17" spans="1:4" x14ac:dyDescent="0.2">
      <c r="A17" s="848"/>
      <c r="B17" s="307" t="s">
        <v>2087</v>
      </c>
      <c r="D17" s="2035">
        <v>1108</v>
      </c>
    </row>
    <row r="18" spans="1:4" x14ac:dyDescent="0.2">
      <c r="A18" s="848"/>
      <c r="B18" s="307" t="s">
        <v>2088</v>
      </c>
      <c r="D18" s="2035">
        <v>3000</v>
      </c>
    </row>
    <row r="19" spans="1:4" x14ac:dyDescent="0.2">
      <c r="A19" s="848"/>
      <c r="B19" s="307" t="s">
        <v>2090</v>
      </c>
      <c r="D19" s="2035">
        <v>1110</v>
      </c>
    </row>
    <row r="20" spans="1:4" x14ac:dyDescent="0.2">
      <c r="A20" s="848"/>
      <c r="B20" s="307" t="s">
        <v>2089</v>
      </c>
      <c r="D20" s="2035">
        <v>1632</v>
      </c>
    </row>
    <row r="21" spans="1:4" x14ac:dyDescent="0.2">
      <c r="A21" s="848"/>
      <c r="B21" s="307" t="s">
        <v>2091</v>
      </c>
      <c r="D21" s="2035">
        <v>3251</v>
      </c>
    </row>
    <row r="22" spans="1:4" x14ac:dyDescent="0.2">
      <c r="A22" s="848"/>
      <c r="B22" s="307" t="s">
        <v>2092</v>
      </c>
    </row>
    <row r="23" spans="1:4" x14ac:dyDescent="0.2">
      <c r="A23" s="848"/>
      <c r="B23" s="307" t="s">
        <v>2093</v>
      </c>
      <c r="D23" s="2035">
        <v>4750</v>
      </c>
    </row>
    <row r="24" spans="1:4" x14ac:dyDescent="0.2">
      <c r="A24" s="848"/>
      <c r="B24" s="307" t="s">
        <v>2094</v>
      </c>
      <c r="D24" s="2035">
        <v>2269</v>
      </c>
    </row>
    <row r="25" spans="1:4" x14ac:dyDescent="0.2">
      <c r="A25" s="848"/>
      <c r="B25" s="307" t="s">
        <v>2095</v>
      </c>
      <c r="D25" s="2035">
        <v>1506</v>
      </c>
    </row>
    <row r="26" spans="1:4" x14ac:dyDescent="0.2">
      <c r="A26" s="848"/>
      <c r="B26" s="307" t="s">
        <v>2096</v>
      </c>
      <c r="D26" s="307">
        <v>665</v>
      </c>
    </row>
    <row r="27" spans="1:4" x14ac:dyDescent="0.2">
      <c r="A27" s="848"/>
      <c r="B27" s="307" t="s">
        <v>2097</v>
      </c>
      <c r="D27" s="2035">
        <v>23941</v>
      </c>
    </row>
    <row r="28" spans="1:4" x14ac:dyDescent="0.2">
      <c r="A28" s="848"/>
      <c r="B28" s="307" t="s">
        <v>2085</v>
      </c>
      <c r="D28" s="2035">
        <v>69359</v>
      </c>
    </row>
    <row r="29" spans="1:4" x14ac:dyDescent="0.2">
      <c r="A29" s="848"/>
    </row>
    <row r="30" spans="1:4" x14ac:dyDescent="0.2">
      <c r="A30" s="848"/>
      <c r="B30" s="307" t="s">
        <v>2098</v>
      </c>
    </row>
    <row r="31" spans="1:4" x14ac:dyDescent="0.2">
      <c r="A31" s="848"/>
      <c r="B31" s="307" t="s">
        <v>2079</v>
      </c>
    </row>
    <row r="32" spans="1:4" x14ac:dyDescent="0.2">
      <c r="A32" s="848"/>
      <c r="B32" s="307" t="s">
        <v>2099</v>
      </c>
      <c r="D32" s="2035">
        <v>15000</v>
      </c>
    </row>
    <row r="33" spans="1:4" x14ac:dyDescent="0.2">
      <c r="A33" s="848"/>
    </row>
    <row r="34" spans="1:4" x14ac:dyDescent="0.2">
      <c r="A34" s="848"/>
      <c r="B34" s="307" t="s">
        <v>2100</v>
      </c>
    </row>
    <row r="35" spans="1:4" x14ac:dyDescent="0.2">
      <c r="A35" s="848"/>
      <c r="B35" s="307" t="s">
        <v>2101</v>
      </c>
    </row>
    <row r="36" spans="1:4" x14ac:dyDescent="0.2">
      <c r="A36" s="848"/>
      <c r="B36" s="307" t="s">
        <v>2102</v>
      </c>
      <c r="D36" s="2035">
        <v>1500</v>
      </c>
    </row>
    <row r="37" spans="1:4" x14ac:dyDescent="0.2">
      <c r="A37" s="848"/>
    </row>
    <row r="38" spans="1:4" x14ac:dyDescent="0.2">
      <c r="A38" s="848"/>
    </row>
    <row r="39" spans="1:4" x14ac:dyDescent="0.2">
      <c r="A39" s="848"/>
    </row>
    <row r="40" spans="1:4" x14ac:dyDescent="0.2">
      <c r="A40" s="848"/>
    </row>
    <row r="41" spans="1:4" x14ac:dyDescent="0.2">
      <c r="A41" s="848"/>
    </row>
    <row r="42" spans="1:4" x14ac:dyDescent="0.2">
      <c r="A42" s="848"/>
    </row>
    <row r="43" spans="1:4" x14ac:dyDescent="0.2">
      <c r="A43" s="848"/>
    </row>
    <row r="44" spans="1:4" x14ac:dyDescent="0.2">
      <c r="A44" s="848"/>
    </row>
    <row r="45" spans="1:4" x14ac:dyDescent="0.2">
      <c r="A45" s="848"/>
    </row>
    <row r="46" spans="1:4" x14ac:dyDescent="0.2">
      <c r="A46" s="848"/>
    </row>
    <row r="47" spans="1:4" x14ac:dyDescent="0.2">
      <c r="A47" s="848"/>
    </row>
    <row r="48" spans="1:4"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Argenta-Oreana CUSD 1</v>
      </c>
    </row>
    <row r="69" spans="1:2" x14ac:dyDescent="0.2">
      <c r="B69" s="849">
        <f>COVER!A13</f>
        <v>39055001026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0" sqref="B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0" sqref="B3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6757374</v>
      </c>
      <c r="C8" s="1813">
        <f>'Acct Summary 7-8'!D8</f>
        <v>966077</v>
      </c>
      <c r="D8" s="1813">
        <f>'Acct Summary 7-8'!F8</f>
        <v>712281</v>
      </c>
      <c r="E8" s="1813">
        <f>'Acct Summary 7-8'!I8</f>
        <v>108068</v>
      </c>
      <c r="F8" s="1813">
        <f>SUM(B8:E8)</f>
        <v>8543800</v>
      </c>
    </row>
    <row r="9" spans="1:8" s="858" customFormat="1" ht="14.25" customHeight="1" thickBot="1" x14ac:dyDescent="0.25">
      <c r="A9" s="857" t="s">
        <v>1353</v>
      </c>
      <c r="B9" s="1814">
        <f>'Acct Summary 7-8'!C17</f>
        <v>6817894</v>
      </c>
      <c r="C9" s="1814">
        <f>'Acct Summary 7-8'!D17</f>
        <v>1082723</v>
      </c>
      <c r="D9" s="1814">
        <f>'Acct Summary 7-8'!F17</f>
        <v>658435</v>
      </c>
      <c r="E9" s="1813"/>
      <c r="F9" s="1813">
        <f>SUM(B9:E9)</f>
        <v>8559052</v>
      </c>
    </row>
    <row r="10" spans="1:8" s="858" customFormat="1" ht="14.25" thickTop="1" thickBot="1" x14ac:dyDescent="0.25">
      <c r="A10" s="859" t="s">
        <v>1354</v>
      </c>
      <c r="B10" s="1815">
        <f>(B8-B9)</f>
        <v>-60520</v>
      </c>
      <c r="C10" s="1815">
        <f>(C8-C9)</f>
        <v>-116646</v>
      </c>
      <c r="D10" s="1815">
        <f>(D8-D9)</f>
        <v>53846</v>
      </c>
      <c r="E10" s="1814">
        <f>(E8-E9)</f>
        <v>108068</v>
      </c>
      <c r="F10" s="1816">
        <f>SUM(F8-F9)</f>
        <v>-15252</v>
      </c>
    </row>
    <row r="11" spans="1:8" s="858" customFormat="1" ht="14.25" thickTop="1" thickBot="1" x14ac:dyDescent="0.25">
      <c r="A11" s="860" t="s">
        <v>1903</v>
      </c>
      <c r="B11" s="1817">
        <f>'Acct Summary 7-8'!C81</f>
        <v>1250731</v>
      </c>
      <c r="C11" s="1817">
        <f>'Acct Summary 7-8'!D81</f>
        <v>594807</v>
      </c>
      <c r="D11" s="1817">
        <f>'Acct Summary 7-8'!F81</f>
        <v>633885</v>
      </c>
      <c r="E11" s="1817">
        <f>'Acct Summary 7-8'!I81</f>
        <v>3173505</v>
      </c>
      <c r="F11" s="1818">
        <f>SUM(B11:E11)</f>
        <v>5652928</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B30" sqref="B3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39055001026</v>
      </c>
      <c r="E2" s="1542">
        <v>2020</v>
      </c>
      <c r="F2" s="1542">
        <v>1</v>
      </c>
      <c r="G2" s="1899">
        <v>101000300</v>
      </c>
    </row>
    <row r="3" spans="1:7" ht="15" x14ac:dyDescent="0.25">
      <c r="A3" t="s">
        <v>950</v>
      </c>
      <c r="B3" s="135" t="str">
        <f>COVER!A15</f>
        <v>MACON</v>
      </c>
      <c r="E3" s="1830" t="s">
        <v>1971</v>
      </c>
      <c r="F3" s="1830" t="s">
        <v>1970</v>
      </c>
      <c r="G3" s="1899">
        <v>101000400</v>
      </c>
    </row>
    <row r="4" spans="1:7" ht="15" x14ac:dyDescent="0.25">
      <c r="A4" t="s">
        <v>1000</v>
      </c>
      <c r="B4" s="135" t="str">
        <f>COVER!A17</f>
        <v xml:space="preserve">   Argenta-Oreana CUSD 1</v>
      </c>
      <c r="E4" s="1828">
        <v>44119</v>
      </c>
      <c r="F4" s="1829">
        <v>44151</v>
      </c>
      <c r="G4" s="1899">
        <v>101000600</v>
      </c>
    </row>
    <row r="5" spans="1:7" ht="15" x14ac:dyDescent="0.25">
      <c r="A5" t="s">
        <v>699</v>
      </c>
      <c r="B5" s="135" t="str">
        <f>COVER!A38</f>
        <v>MR. DAMIAN JONES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f>COVER!T23</f>
        <v>66.004384999999999</v>
      </c>
      <c r="G15" s="1899">
        <v>402100400</v>
      </c>
    </row>
    <row r="16" spans="1:7" ht="15" x14ac:dyDescent="0.25">
      <c r="A16" t="s">
        <v>419</v>
      </c>
      <c r="B16" s="135" t="str">
        <f>COVER!T13</f>
        <v>FLOYD &amp; ASSOCIATES, CPAs</v>
      </c>
      <c r="G16" s="1899">
        <v>402100600</v>
      </c>
    </row>
    <row r="17" spans="1:7" ht="15" x14ac:dyDescent="0.25">
      <c r="A17" t="s">
        <v>878</v>
      </c>
      <c r="B17" s="135" t="str">
        <f>COVER!T15</f>
        <v>JULIE M. FLOYD, CPA</v>
      </c>
      <c r="G17" s="1899">
        <v>402100800</v>
      </c>
    </row>
    <row r="18" spans="1:7" ht="15" x14ac:dyDescent="0.25">
      <c r="A18" t="s">
        <v>1140</v>
      </c>
      <c r="B18" s="135" t="str">
        <f>COVER!T17</f>
        <v>910 STATE HIGHWAY 54 EAST</v>
      </c>
      <c r="G18" s="1899">
        <v>102200300</v>
      </c>
    </row>
    <row r="19" spans="1:7" ht="15" x14ac:dyDescent="0.25">
      <c r="A19" t="s">
        <v>880</v>
      </c>
      <c r="B19" s="135" t="str">
        <f>COVER!T25</f>
        <v>julie@floydcpas.com</v>
      </c>
      <c r="G19" s="1899">
        <v>102200400</v>
      </c>
    </row>
    <row r="20" spans="1:7" ht="15" x14ac:dyDescent="0.25">
      <c r="A20" t="s">
        <v>881</v>
      </c>
      <c r="B20" s="135" t="str">
        <f>COVER!T19</f>
        <v>CLINTON</v>
      </c>
      <c r="G20" s="1899">
        <v>102200600</v>
      </c>
    </row>
    <row r="21" spans="1:7" ht="15" x14ac:dyDescent="0.25">
      <c r="A21" t="s">
        <v>476</v>
      </c>
      <c r="B21" s="135" t="str">
        <f>COVER!X19</f>
        <v>IL</v>
      </c>
      <c r="G21" s="1899">
        <v>102200800</v>
      </c>
    </row>
    <row r="22" spans="1:7" ht="15" x14ac:dyDescent="0.25">
      <c r="A22" t="s">
        <v>882</v>
      </c>
      <c r="B22" s="135">
        <f>COVER!Z19</f>
        <v>61727</v>
      </c>
      <c r="G22" s="1899">
        <v>102300300</v>
      </c>
    </row>
    <row r="23" spans="1:7" ht="15" x14ac:dyDescent="0.25">
      <c r="A23" t="s">
        <v>1142</v>
      </c>
      <c r="B23" s="135" t="str">
        <f>COVER!T21</f>
        <v>217-935-8871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921285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1250731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1159452</v>
      </c>
      <c r="D92" s="2" t="str">
        <f t="shared" si="0"/>
        <v>Error?</v>
      </c>
      <c r="G92" s="1899">
        <v>102640600</v>
      </c>
    </row>
    <row r="93" spans="1:7" ht="15" x14ac:dyDescent="0.25">
      <c r="A93" s="5">
        <v>32</v>
      </c>
      <c r="B93" s="1832">
        <f>'Assets-Liab 5-6'!C41</f>
        <v>1250731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476547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594807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594807</v>
      </c>
      <c r="D123" s="2" t="str">
        <f t="shared" si="0"/>
        <v>Error?</v>
      </c>
      <c r="G123" s="1899">
        <v>203000400</v>
      </c>
    </row>
    <row r="124" spans="1:7" ht="15" x14ac:dyDescent="0.25">
      <c r="A124" s="5">
        <v>63</v>
      </c>
      <c r="B124" s="1832">
        <f>'Assets-Liab 5-6'!D41</f>
        <v>594807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480864</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620439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620439</v>
      </c>
      <c r="D140" s="2" t="str">
        <f t="shared" si="1"/>
        <v>Error?</v>
      </c>
    </row>
    <row r="141" spans="1:7" x14ac:dyDescent="0.2">
      <c r="A141" s="5">
        <v>80</v>
      </c>
      <c r="B141" s="1832">
        <f>'Assets-Liab 5-6'!E41</f>
        <v>620439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414468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633885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633885</v>
      </c>
      <c r="D170" s="2" t="str">
        <f t="shared" si="1"/>
        <v>Error?</v>
      </c>
    </row>
    <row r="171" spans="1:4" x14ac:dyDescent="0.2">
      <c r="A171" s="5">
        <v>110</v>
      </c>
      <c r="B171" s="1832">
        <f>'Assets-Liab 5-6'!F41</f>
        <v>633885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307372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335400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335400</v>
      </c>
      <c r="D189" s="2" t="str">
        <f t="shared" si="1"/>
        <v>Error?</v>
      </c>
    </row>
    <row r="190" spans="1:4" x14ac:dyDescent="0.2">
      <c r="A190" s="5">
        <v>129</v>
      </c>
      <c r="B190" s="1832">
        <f>'Assets-Liab 5-6'!G41</f>
        <v>335400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83714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160099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160099</v>
      </c>
      <c r="D212" s="2" t="str">
        <f t="shared" si="2"/>
        <v>Error?</v>
      </c>
    </row>
    <row r="213" spans="1:4" x14ac:dyDescent="0.2">
      <c r="A213" s="12">
        <v>152</v>
      </c>
      <c r="B213" s="1832">
        <f>'Assets-Liab 5-6'!H41</f>
        <v>160099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75875</v>
      </c>
      <c r="D273" s="2" t="str">
        <f t="shared" si="3"/>
        <v>Error?</v>
      </c>
    </row>
    <row r="274" spans="1:4" x14ac:dyDescent="0.2">
      <c r="A274" s="5">
        <v>213</v>
      </c>
      <c r="B274" s="1832">
        <f>'Assets-Liab 5-6'!M17</f>
        <v>30439786</v>
      </c>
      <c r="D274" s="2" t="str">
        <f t="shared" si="3"/>
        <v>Error?</v>
      </c>
    </row>
    <row r="275" spans="1:4" x14ac:dyDescent="0.2">
      <c r="A275" s="5">
        <v>214</v>
      </c>
      <c r="B275" s="1832">
        <f>'Assets-Liab 5-6'!M18</f>
        <v>0</v>
      </c>
      <c r="D275" s="2" t="str">
        <f t="shared" si="3"/>
        <v>Error?</v>
      </c>
    </row>
    <row r="276" spans="1:4" x14ac:dyDescent="0.2">
      <c r="A276" s="5">
        <v>215</v>
      </c>
      <c r="B276" s="1832">
        <f>'Assets-Liab 5-6'!M19</f>
        <v>1366021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31881682</v>
      </c>
      <c r="C279" s="2" t="s">
        <v>569</v>
      </c>
      <c r="D279" s="2" t="str">
        <f t="shared" si="3"/>
        <v>Error?</v>
      </c>
    </row>
    <row r="280" spans="1:4" x14ac:dyDescent="0.2">
      <c r="A280" s="5">
        <v>219</v>
      </c>
      <c r="B280" s="1832">
        <f>'Assets-Liab 5-6'!M40</f>
        <v>31881682</v>
      </c>
      <c r="D280" s="2" t="str">
        <f t="shared" si="3"/>
        <v>Error?</v>
      </c>
    </row>
    <row r="281" spans="1:4" x14ac:dyDescent="0.2">
      <c r="A281" s="5">
        <v>220</v>
      </c>
      <c r="B281" s="1832">
        <f>'Assets-Liab 5-6'!M41</f>
        <v>31881682</v>
      </c>
      <c r="C281" s="2" t="s">
        <v>569</v>
      </c>
      <c r="D281" s="2" t="str">
        <f t="shared" si="3"/>
        <v>Error?</v>
      </c>
    </row>
    <row r="282" spans="1:4" x14ac:dyDescent="0.2">
      <c r="A282" s="5">
        <v>221</v>
      </c>
      <c r="B282" s="1832">
        <f>'Assets-Liab 5-6'!N21</f>
        <v>620439</v>
      </c>
      <c r="D282" s="2" t="str">
        <f t="shared" si="3"/>
        <v>Error?</v>
      </c>
    </row>
    <row r="283" spans="1:4" x14ac:dyDescent="0.2">
      <c r="A283" s="5">
        <v>222</v>
      </c>
      <c r="B283" s="1832">
        <f>'Assets-Liab 5-6'!N22</f>
        <v>9484561</v>
      </c>
      <c r="D283" s="2" t="str">
        <f t="shared" si="3"/>
        <v>Error?</v>
      </c>
    </row>
    <row r="284" spans="1:4" x14ac:dyDescent="0.2">
      <c r="A284" s="5">
        <v>223</v>
      </c>
      <c r="B284" s="1832">
        <f>'Assets-Liab 5-6'!N23</f>
        <v>10105000</v>
      </c>
      <c r="C284" s="2" t="s">
        <v>569</v>
      </c>
      <c r="D284" s="2" t="str">
        <f t="shared" si="3"/>
        <v>Error?</v>
      </c>
    </row>
    <row r="285" spans="1:4" x14ac:dyDescent="0.2">
      <c r="A285" s="5">
        <v>224</v>
      </c>
      <c r="B285" s="1832">
        <f>'Assets-Liab 5-6'!N36</f>
        <v>10105000</v>
      </c>
      <c r="D285" s="2" t="str">
        <f t="shared" si="3"/>
        <v>Error?</v>
      </c>
    </row>
    <row r="286" spans="1:4" x14ac:dyDescent="0.2">
      <c r="A286" s="10">
        <v>225</v>
      </c>
      <c r="B286" s="1832"/>
      <c r="D286" s="2" t="str">
        <f t="shared" si="3"/>
        <v>OK</v>
      </c>
    </row>
    <row r="287" spans="1:4" x14ac:dyDescent="0.2">
      <c r="A287" s="5">
        <v>226</v>
      </c>
      <c r="B287" s="1832">
        <f>'Assets-Liab 5-6'!N37</f>
        <v>10105000</v>
      </c>
      <c r="C287" s="2" t="s">
        <v>569</v>
      </c>
      <c r="D287" s="2" t="str">
        <f t="shared" si="3"/>
        <v>Error?</v>
      </c>
    </row>
    <row r="288" spans="1:4" x14ac:dyDescent="0.2">
      <c r="A288" s="5">
        <v>227</v>
      </c>
      <c r="B288" s="1832">
        <f>'Assets-Liab 5-6'!N41</f>
        <v>10105000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2843015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13277</v>
      </c>
      <c r="D717" s="2" t="str">
        <f t="shared" si="10"/>
        <v>Error?</v>
      </c>
    </row>
    <row r="718" spans="1:4" x14ac:dyDescent="0.2">
      <c r="A718" s="5">
        <v>657</v>
      </c>
      <c r="B718" s="1832">
        <f>'Expenditures 15-22'!C14</f>
        <v>129088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3727056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83111</v>
      </c>
      <c r="D722" s="2" t="str">
        <f t="shared" si="10"/>
        <v>Error?</v>
      </c>
    </row>
    <row r="723" spans="1:4" x14ac:dyDescent="0.2">
      <c r="A723" s="5">
        <v>662</v>
      </c>
      <c r="B723" s="1832">
        <f>'Expenditures 15-22'!C38</f>
        <v>33814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116925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28575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28575</v>
      </c>
      <c r="C731" s="2" t="s">
        <v>569</v>
      </c>
      <c r="D731" s="2" t="str">
        <f t="shared" si="10"/>
        <v>Error?</v>
      </c>
    </row>
    <row r="732" spans="1:4" x14ac:dyDescent="0.2">
      <c r="A732" s="5">
        <v>671</v>
      </c>
      <c r="B732" s="1832">
        <f>'Expenditures 15-22'!C49</f>
        <v>13783</v>
      </c>
      <c r="D732" s="2" t="str">
        <f t="shared" si="10"/>
        <v>Error?</v>
      </c>
    </row>
    <row r="733" spans="1:4" x14ac:dyDescent="0.2">
      <c r="A733" s="5">
        <v>672</v>
      </c>
      <c r="B733" s="1832">
        <f>'Expenditures 15-22'!C50</f>
        <v>97404</v>
      </c>
      <c r="D733" s="2" t="str">
        <f t="shared" si="10"/>
        <v>Error?</v>
      </c>
    </row>
    <row r="734" spans="1:4" x14ac:dyDescent="0.2">
      <c r="A734" s="5">
        <v>673</v>
      </c>
      <c r="B734" s="1832">
        <f>'Expenditures 15-22'!C53</f>
        <v>111187</v>
      </c>
      <c r="C734" s="2" t="s">
        <v>569</v>
      </c>
      <c r="D734" s="2" t="str">
        <f t="shared" si="10"/>
        <v>Error?</v>
      </c>
    </row>
    <row r="735" spans="1:4" x14ac:dyDescent="0.2">
      <c r="A735" s="5">
        <v>674</v>
      </c>
      <c r="B735" s="1832">
        <f>'Expenditures 15-22'!C55</f>
        <v>499718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499718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73345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86367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159712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916117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4643173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675591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254</v>
      </c>
      <c r="D775" s="2" t="str">
        <f t="shared" si="11"/>
        <v>Error?</v>
      </c>
    </row>
    <row r="776" spans="1:4" x14ac:dyDescent="0.2">
      <c r="A776" s="5">
        <v>715</v>
      </c>
      <c r="B776" s="1832">
        <f>'Expenditures 15-22'!D14</f>
        <v>14261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777688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13322</v>
      </c>
      <c r="D780" s="2" t="str">
        <f t="shared" si="11"/>
        <v>Error?</v>
      </c>
    </row>
    <row r="781" spans="1:4" x14ac:dyDescent="0.2">
      <c r="A781" s="5">
        <v>720</v>
      </c>
      <c r="B781" s="1832">
        <f>'Expenditures 15-22'!D38</f>
        <v>2323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15645</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2992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2992</v>
      </c>
      <c r="C789" s="2" t="s">
        <v>569</v>
      </c>
      <c r="D789" s="2" t="str">
        <f t="shared" si="11"/>
        <v>Error?</v>
      </c>
    </row>
    <row r="790" spans="1:4" x14ac:dyDescent="0.2">
      <c r="A790" s="5">
        <v>729</v>
      </c>
      <c r="B790" s="1832">
        <f>'Expenditures 15-22'!D49</f>
        <v>1367</v>
      </c>
      <c r="D790" s="2" t="str">
        <f t="shared" si="11"/>
        <v>Error?</v>
      </c>
    </row>
    <row r="791" spans="1:4" x14ac:dyDescent="0.2">
      <c r="A791" s="5">
        <v>730</v>
      </c>
      <c r="B791" s="1832">
        <f>'Expenditures 15-22'!D50</f>
        <v>35220</v>
      </c>
      <c r="D791" s="2" t="str">
        <f t="shared" si="11"/>
        <v>Error?</v>
      </c>
    </row>
    <row r="792" spans="1:4" x14ac:dyDescent="0.2">
      <c r="A792" s="5">
        <v>731</v>
      </c>
      <c r="B792" s="1832">
        <f>'Expenditures 15-22'!D53</f>
        <v>36587</v>
      </c>
      <c r="C792" s="2" t="s">
        <v>569</v>
      </c>
      <c r="D792" s="2" t="str">
        <f t="shared" si="11"/>
        <v>Error?</v>
      </c>
    </row>
    <row r="793" spans="1:4" x14ac:dyDescent="0.2">
      <c r="A793" s="5">
        <v>732</v>
      </c>
      <c r="B793" s="1832">
        <f>'Expenditures 15-22'!D55</f>
        <v>120830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120830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2818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2977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179031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956719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13638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400</v>
      </c>
      <c r="D833" s="2" t="str">
        <f t="shared" si="12"/>
        <v>Error?</v>
      </c>
    </row>
    <row r="834" spans="1:4" x14ac:dyDescent="0.2">
      <c r="A834" s="5">
        <v>773</v>
      </c>
      <c r="B834" s="1832">
        <f>'Expenditures 15-22'!E14</f>
        <v>22262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51531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86</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2250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2250</v>
      </c>
      <c r="C847" s="2" t="s">
        <v>569</v>
      </c>
      <c r="D847" s="2" t="str">
        <f t="shared" si="12"/>
        <v>Error?</v>
      </c>
    </row>
    <row r="848" spans="1:4" x14ac:dyDescent="0.2">
      <c r="A848" s="5">
        <v>787</v>
      </c>
      <c r="B848" s="1832">
        <f>'Expenditures 15-22'!E49</f>
        <v>109912</v>
      </c>
      <c r="D848" s="2" t="str">
        <f t="shared" si="12"/>
        <v>Error?</v>
      </c>
    </row>
    <row r="849" spans="1:4" x14ac:dyDescent="0.2">
      <c r="A849" s="5">
        <v>788</v>
      </c>
      <c r="B849" s="1832">
        <f>'Expenditures 15-22'!E50</f>
        <v>1433</v>
      </c>
      <c r="D849" s="2" t="str">
        <f t="shared" si="12"/>
        <v>Error?</v>
      </c>
    </row>
    <row r="850" spans="1:4" x14ac:dyDescent="0.2">
      <c r="A850" s="5">
        <v>789</v>
      </c>
      <c r="B850" s="1832">
        <f>'Expenditures 15-22'!E53</f>
        <v>111345</v>
      </c>
      <c r="C850" s="2" t="s">
        <v>569</v>
      </c>
      <c r="D850" s="2" t="str">
        <f t="shared" si="12"/>
        <v>Error?</v>
      </c>
    </row>
    <row r="851" spans="1:4" x14ac:dyDescent="0.2">
      <c r="A851" s="5">
        <v>790</v>
      </c>
      <c r="B851" s="1832">
        <f>'Expenditures 15-22'!E55</f>
        <v>3055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3055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3356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3356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22596</v>
      </c>
      <c r="D867" s="2" t="str">
        <f t="shared" si="12"/>
        <v>Error?</v>
      </c>
    </row>
    <row r="868" spans="1:4" x14ac:dyDescent="0.2">
      <c r="A868" s="10">
        <v>807</v>
      </c>
      <c r="B868" s="1832"/>
      <c r="D868" s="2" t="str">
        <f t="shared" si="12"/>
        <v>OK</v>
      </c>
    </row>
    <row r="869" spans="1:4" x14ac:dyDescent="0.2">
      <c r="A869" s="5">
        <v>808</v>
      </c>
      <c r="B869" s="1832">
        <f>'Expenditures 15-22'!E72</f>
        <v>22596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142688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194219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127821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3804</v>
      </c>
      <c r="D891" s="2" t="str">
        <f t="shared" si="12"/>
        <v>Error?</v>
      </c>
    </row>
    <row r="892" spans="1:4" x14ac:dyDescent="0.2">
      <c r="A892" s="5">
        <v>831</v>
      </c>
      <c r="B892" s="1832">
        <f>'Expenditures 15-22'!F14</f>
        <v>32595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213818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2380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2380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5666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5666</v>
      </c>
      <c r="C905" s="2" t="s">
        <v>569</v>
      </c>
      <c r="D905" s="2" t="str">
        <f t="shared" si="13"/>
        <v>Error?</v>
      </c>
    </row>
    <row r="906" spans="1:4" x14ac:dyDescent="0.2">
      <c r="A906" s="5">
        <v>845</v>
      </c>
      <c r="B906" s="1832">
        <f>'Expenditures 15-22'!F49</f>
        <v>5030</v>
      </c>
      <c r="D906" s="2" t="str">
        <f t="shared" si="13"/>
        <v>Error?</v>
      </c>
    </row>
    <row r="907" spans="1:4" x14ac:dyDescent="0.2">
      <c r="A907" s="5">
        <v>846</v>
      </c>
      <c r="B907" s="1832">
        <f>'Expenditures 15-22'!F50</f>
        <v>498</v>
      </c>
      <c r="D907" s="2" t="str">
        <f t="shared" si="13"/>
        <v>Error?</v>
      </c>
    </row>
    <row r="908" spans="1:4" x14ac:dyDescent="0.2">
      <c r="A908" s="5">
        <v>847</v>
      </c>
      <c r="B908" s="1832">
        <f>'Expenditures 15-22'!F53</f>
        <v>5528</v>
      </c>
      <c r="C908" s="2" t="s">
        <v>569</v>
      </c>
      <c r="D908" s="2" t="str">
        <f t="shared" si="13"/>
        <v>Error?</v>
      </c>
    </row>
    <row r="909" spans="1:4" x14ac:dyDescent="0.2">
      <c r="A909" s="5">
        <v>848</v>
      </c>
      <c r="B909" s="1832">
        <f>'Expenditures 15-22'!F55</f>
        <v>452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452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163930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163930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177956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391774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1125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1275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8220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8220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2126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3897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6023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255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255</v>
      </c>
      <c r="C1021" s="2" t="s">
        <v>569</v>
      </c>
      <c r="D1021" s="2" t="str">
        <f t="shared" si="14"/>
        <v>Error?</v>
      </c>
    </row>
    <row r="1022" spans="1:4" x14ac:dyDescent="0.2">
      <c r="A1022" s="5">
        <v>961</v>
      </c>
      <c r="B1022" s="1832">
        <f>'Expenditures 15-22'!H49</f>
        <v>10578</v>
      </c>
      <c r="D1022" s="2" t="str">
        <f t="shared" si="14"/>
        <v>Error?</v>
      </c>
    </row>
    <row r="1023" spans="1:4" x14ac:dyDescent="0.2">
      <c r="A1023" s="5">
        <v>962</v>
      </c>
      <c r="B1023" s="1832">
        <f>'Expenditures 15-22'!H50</f>
        <v>1191</v>
      </c>
      <c r="D1023" s="2" t="str">
        <f t="shared" ref="D1023:D1086" si="15">IF(ISBLANK(B1023),"OK",IF(A1023-B1023=0,"OK","Error?"))</f>
        <v>Error?</v>
      </c>
    </row>
    <row r="1024" spans="1:4" x14ac:dyDescent="0.2">
      <c r="A1024" s="5">
        <v>963</v>
      </c>
      <c r="B1024" s="1832">
        <f>'Expenditures 15-22'!H53</f>
        <v>11769</v>
      </c>
      <c r="C1024" s="2" t="s">
        <v>569</v>
      </c>
      <c r="D1024" s="2" t="str">
        <f t="shared" si="15"/>
        <v>Error?</v>
      </c>
    </row>
    <row r="1025" spans="1:4" x14ac:dyDescent="0.2">
      <c r="A1025" s="5">
        <v>964</v>
      </c>
      <c r="B1025" s="1832">
        <f>'Expenditures 15-22'!H55</f>
        <v>704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704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260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12988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585185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604196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3682909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19010</v>
      </c>
      <c r="C1105" s="2" t="s">
        <v>569</v>
      </c>
      <c r="D1105" s="2" t="str">
        <f t="shared" si="16"/>
        <v>Error?</v>
      </c>
    </row>
    <row r="1106" spans="1:4" x14ac:dyDescent="0.2">
      <c r="A1106" s="5">
        <v>1045</v>
      </c>
      <c r="B1106" s="1832">
        <f>'Expenditures 15-22'!K14</f>
        <v>202103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4803929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96433</v>
      </c>
      <c r="C1110" s="2" t="s">
        <v>569</v>
      </c>
      <c r="D1110" s="2" t="str">
        <f t="shared" si="16"/>
        <v>Error?</v>
      </c>
    </row>
    <row r="1111" spans="1:4" x14ac:dyDescent="0.2">
      <c r="A1111" s="5">
        <v>1050</v>
      </c>
      <c r="B1111" s="1832">
        <f>'Expenditures 15-22'!K38</f>
        <v>38603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135036</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39738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39738</v>
      </c>
      <c r="C1119" s="2" t="s">
        <v>569</v>
      </c>
      <c r="D1119" s="2" t="str">
        <f t="shared" si="16"/>
        <v>Error?</v>
      </c>
    </row>
    <row r="1120" spans="1:4" x14ac:dyDescent="0.2">
      <c r="A1120" s="5">
        <v>1059</v>
      </c>
      <c r="B1120" s="1832">
        <f>'Expenditures 15-22'!K49</f>
        <v>140670</v>
      </c>
      <c r="C1120" s="2" t="s">
        <v>569</v>
      </c>
      <c r="D1120" s="2" t="str">
        <f t="shared" si="16"/>
        <v>Error?</v>
      </c>
    </row>
    <row r="1121" spans="1:4" x14ac:dyDescent="0.2">
      <c r="A1121" s="5">
        <v>1060</v>
      </c>
      <c r="B1121" s="1832">
        <f>'Expenditures 15-22'!K50</f>
        <v>135746</v>
      </c>
      <c r="C1121" s="2" t="s">
        <v>569</v>
      </c>
      <c r="D1121" s="2" t="str">
        <f t="shared" si="16"/>
        <v>Error?</v>
      </c>
    </row>
    <row r="1122" spans="1:4" x14ac:dyDescent="0.2">
      <c r="A1122" s="5">
        <v>1061</v>
      </c>
      <c r="B1122" s="1832">
        <f>'Expenditures 15-22'!K53</f>
        <v>276416</v>
      </c>
      <c r="C1122" s="2" t="s">
        <v>569</v>
      </c>
      <c r="D1122" s="2" t="str">
        <f t="shared" si="16"/>
        <v>Error?</v>
      </c>
    </row>
    <row r="1123" spans="1:4" x14ac:dyDescent="0.2">
      <c r="A1123" s="5">
        <v>1062</v>
      </c>
      <c r="B1123" s="1832">
        <f>'Expenditures 15-22'!K55</f>
        <v>624759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624759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76163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254072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330235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22596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22596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1428780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585185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6817894</v>
      </c>
      <c r="C1152" s="2" t="s">
        <v>569</v>
      </c>
      <c r="D1152" s="2" t="str">
        <f t="shared" si="17"/>
        <v>Error?</v>
      </c>
    </row>
    <row r="1153" spans="1:4" x14ac:dyDescent="0.2">
      <c r="A1153" s="5">
        <v>1092</v>
      </c>
      <c r="B1153" s="1832">
        <f>'Expenditures 15-22'!K115</f>
        <v>-60520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363030</v>
      </c>
      <c r="D1221" s="2" t="str">
        <f t="shared" si="18"/>
        <v>Error?</v>
      </c>
    </row>
    <row r="1222" spans="1:4" x14ac:dyDescent="0.2">
      <c r="A1222" s="10">
        <v>1161</v>
      </c>
      <c r="B1222" s="1832"/>
      <c r="D1222" s="2" t="str">
        <f t="shared" si="18"/>
        <v>OK</v>
      </c>
    </row>
    <row r="1223" spans="1:4" x14ac:dyDescent="0.2">
      <c r="A1223" s="5">
        <v>1162</v>
      </c>
      <c r="B1223" s="1832">
        <f>'Expenditures 15-22'!C127</f>
        <v>363030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363030</v>
      </c>
      <c r="C1225" s="2" t="s">
        <v>569</v>
      </c>
      <c r="D1225" s="2" t="str">
        <f t="shared" si="18"/>
        <v>Error?</v>
      </c>
    </row>
    <row r="1226" spans="1:4" x14ac:dyDescent="0.2">
      <c r="A1226" s="5">
        <v>1165</v>
      </c>
      <c r="B1226" s="1832">
        <f>'Expenditures 15-22'!C151</f>
        <v>363030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29906</v>
      </c>
      <c r="D1229" s="2" t="str">
        <f t="shared" si="18"/>
        <v>Error?</v>
      </c>
    </row>
    <row r="1230" spans="1:4" x14ac:dyDescent="0.2">
      <c r="A1230" s="10">
        <v>1169</v>
      </c>
      <c r="B1230" s="1832"/>
      <c r="D1230" s="2" t="str">
        <f t="shared" si="18"/>
        <v>OK</v>
      </c>
    </row>
    <row r="1231" spans="1:4" x14ac:dyDescent="0.2">
      <c r="A1231" s="5">
        <v>1170</v>
      </c>
      <c r="B1231" s="1832">
        <f>'Expenditures 15-22'!D127</f>
        <v>29906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29906</v>
      </c>
      <c r="C1233" s="2" t="s">
        <v>569</v>
      </c>
      <c r="D1233" s="2" t="str">
        <f t="shared" si="18"/>
        <v>Error?</v>
      </c>
    </row>
    <row r="1234" spans="1:4" x14ac:dyDescent="0.2">
      <c r="A1234" s="5">
        <v>1173</v>
      </c>
      <c r="B1234" s="1832">
        <f>'Expenditures 15-22'!D151</f>
        <v>29906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205583</v>
      </c>
      <c r="D1237" s="2" t="str">
        <f t="shared" si="18"/>
        <v>Error?</v>
      </c>
    </row>
    <row r="1238" spans="1:4" x14ac:dyDescent="0.2">
      <c r="A1238" s="10">
        <v>1177</v>
      </c>
      <c r="B1238" s="1832"/>
      <c r="D1238" s="2" t="str">
        <f t="shared" si="18"/>
        <v>OK</v>
      </c>
    </row>
    <row r="1239" spans="1:4" x14ac:dyDescent="0.2">
      <c r="A1239" s="5">
        <v>1178</v>
      </c>
      <c r="B1239" s="1832">
        <f>'Expenditures 15-22'!E127</f>
        <v>205583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205583</v>
      </c>
      <c r="C1241" s="2" t="s">
        <v>569</v>
      </c>
      <c r="D1241" s="2" t="str">
        <f t="shared" si="18"/>
        <v>Error?</v>
      </c>
    </row>
    <row r="1242" spans="1:4" x14ac:dyDescent="0.2">
      <c r="A1242" s="5">
        <v>1181</v>
      </c>
      <c r="B1242" s="1832">
        <f>'Expenditures 15-22'!E151</f>
        <v>205583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348886</v>
      </c>
      <c r="D1245" s="2" t="str">
        <f t="shared" si="18"/>
        <v>Error?</v>
      </c>
    </row>
    <row r="1246" spans="1:4" x14ac:dyDescent="0.2">
      <c r="A1246" s="10">
        <v>1185</v>
      </c>
      <c r="B1246" s="1832"/>
      <c r="D1246" s="2" t="str">
        <f t="shared" si="18"/>
        <v>OK</v>
      </c>
    </row>
    <row r="1247" spans="1:4" x14ac:dyDescent="0.2">
      <c r="A1247" s="5">
        <v>1186</v>
      </c>
      <c r="B1247" s="1832">
        <f>'Expenditures 15-22'!F127</f>
        <v>348886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348886</v>
      </c>
      <c r="C1249" s="2" t="s">
        <v>569</v>
      </c>
      <c r="D1249" s="2" t="str">
        <f t="shared" si="18"/>
        <v>Error?</v>
      </c>
    </row>
    <row r="1250" spans="1:4" x14ac:dyDescent="0.2">
      <c r="A1250" s="5">
        <v>1189</v>
      </c>
      <c r="B1250" s="1832">
        <f>'Expenditures 15-22'!F151</f>
        <v>348886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123807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123807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123807</v>
      </c>
      <c r="C1258" s="2" t="s">
        <v>569</v>
      </c>
      <c r="D1258" s="2" t="str">
        <f t="shared" si="18"/>
        <v>Error?</v>
      </c>
    </row>
    <row r="1259" spans="1:4" x14ac:dyDescent="0.2">
      <c r="A1259" s="5">
        <v>1198</v>
      </c>
      <c r="B1259" s="1832">
        <f>'Expenditures 15-22'!G151</f>
        <v>123807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11511</v>
      </c>
      <c r="D1262" s="2" t="str">
        <f t="shared" si="18"/>
        <v>Error?</v>
      </c>
    </row>
    <row r="1263" spans="1:4" x14ac:dyDescent="0.2">
      <c r="A1263" s="10">
        <v>1202</v>
      </c>
      <c r="B1263" s="1832"/>
      <c r="D1263" s="2" t="str">
        <f t="shared" si="18"/>
        <v>OK</v>
      </c>
    </row>
    <row r="1264" spans="1:4" x14ac:dyDescent="0.2">
      <c r="A1264" s="5">
        <v>1203</v>
      </c>
      <c r="B1264" s="1832">
        <f>'Expenditures 15-22'!H127</f>
        <v>11511</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11511</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11511</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1082723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1082723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1082723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1082723</v>
      </c>
      <c r="C1288" s="2" t="s">
        <v>569</v>
      </c>
      <c r="D1288" s="2" t="str">
        <f t="shared" si="19"/>
        <v>Error?</v>
      </c>
    </row>
    <row r="1289" spans="1:4" x14ac:dyDescent="0.2">
      <c r="A1289" s="5">
        <v>1228</v>
      </c>
      <c r="B1289" s="1832">
        <f>'Expenditures 15-22'!K152</f>
        <v>-116646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372565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935000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1309065</v>
      </c>
      <c r="C1317" s="2" t="s">
        <v>569</v>
      </c>
      <c r="D1317" s="2" t="str">
        <f t="shared" si="19"/>
        <v>Error?</v>
      </c>
    </row>
    <row r="1318" spans="1:4" x14ac:dyDescent="0.2">
      <c r="A1318" s="5">
        <v>1257</v>
      </c>
      <c r="B1318" s="1832">
        <f>'Expenditures 15-22'!H174</f>
        <v>1309065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372565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935000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1309065</v>
      </c>
      <c r="C1331" s="2" t="s">
        <v>569</v>
      </c>
      <c r="D1331" s="2" t="str">
        <f t="shared" si="19"/>
        <v>Error?</v>
      </c>
    </row>
    <row r="1332" spans="1:4" x14ac:dyDescent="0.2">
      <c r="A1332" s="5">
        <v>1271</v>
      </c>
      <c r="B1332" s="1832">
        <f>'Expenditures 15-22'!K174</f>
        <v>1309065</v>
      </c>
      <c r="C1332" s="2" t="s">
        <v>569</v>
      </c>
      <c r="D1332" s="2" t="str">
        <f t="shared" si="19"/>
        <v>Error?</v>
      </c>
    </row>
    <row r="1333" spans="1:4" x14ac:dyDescent="0.2">
      <c r="A1333" s="5">
        <v>1272</v>
      </c>
      <c r="B1333" s="1832">
        <f>'Expenditures 15-22'!K175</f>
        <v>10533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318152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318152</v>
      </c>
      <c r="C1339" s="2" t="s">
        <v>569</v>
      </c>
      <c r="D1339" s="2" t="str">
        <f t="shared" si="19"/>
        <v>Error?</v>
      </c>
    </row>
    <row r="1340" spans="1:4" x14ac:dyDescent="0.2">
      <c r="A1340" s="5">
        <v>1279</v>
      </c>
      <c r="B1340" s="1832">
        <f>'Expenditures 15-22'!C210</f>
        <v>318152</v>
      </c>
      <c r="C1340" s="2" t="s">
        <v>569</v>
      </c>
      <c r="D1340" s="2" t="str">
        <f t="shared" si="19"/>
        <v>Error?</v>
      </c>
    </row>
    <row r="1341" spans="1:4" x14ac:dyDescent="0.2">
      <c r="A1341" s="5">
        <v>1280</v>
      </c>
      <c r="B1341" s="1832">
        <f>'Expenditures 15-22'!D182</f>
        <v>637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637</v>
      </c>
      <c r="C1345" s="2" t="s">
        <v>569</v>
      </c>
      <c r="D1345" s="2" t="str">
        <f t="shared" si="20"/>
        <v>Error?</v>
      </c>
    </row>
    <row r="1346" spans="1:4" x14ac:dyDescent="0.2">
      <c r="A1346" s="5">
        <v>1285</v>
      </c>
      <c r="B1346" s="1832">
        <f>'Expenditures 15-22'!D210</f>
        <v>637</v>
      </c>
      <c r="C1346" s="2" t="s">
        <v>569</v>
      </c>
      <c r="D1346" s="2" t="str">
        <f t="shared" si="20"/>
        <v>Error?</v>
      </c>
    </row>
    <row r="1347" spans="1:4" x14ac:dyDescent="0.2">
      <c r="A1347" s="5">
        <v>1286</v>
      </c>
      <c r="B1347" s="1832">
        <f>'Expenditures 15-22'!E182</f>
        <v>32945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32945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32945</v>
      </c>
      <c r="C1353" s="2" t="s">
        <v>569</v>
      </c>
      <c r="D1353" s="2" t="str">
        <f t="shared" si="20"/>
        <v>Error?</v>
      </c>
    </row>
    <row r="1354" spans="1:4" x14ac:dyDescent="0.2">
      <c r="A1354" s="5">
        <v>1293</v>
      </c>
      <c r="B1354" s="1832">
        <f>'Expenditures 15-22'!F182</f>
        <v>63447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63447</v>
      </c>
      <c r="C1358" s="2" t="s">
        <v>569</v>
      </c>
      <c r="D1358" s="2" t="str">
        <f t="shared" si="20"/>
        <v>Error?</v>
      </c>
    </row>
    <row r="1359" spans="1:4" x14ac:dyDescent="0.2">
      <c r="A1359" s="5">
        <v>1298</v>
      </c>
      <c r="B1359" s="1832">
        <f>'Expenditures 15-22'!F210</f>
        <v>63447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674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674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674</v>
      </c>
      <c r="C1376" s="2" t="s">
        <v>569</v>
      </c>
      <c r="D1376" s="2" t="str">
        <f t="shared" si="20"/>
        <v>Error?</v>
      </c>
    </row>
    <row r="1377" spans="1:4" x14ac:dyDescent="0.2">
      <c r="A1377" s="5">
        <v>1316</v>
      </c>
      <c r="B1377" s="1832">
        <f>'Expenditures 15-22'!K182</f>
        <v>658435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658435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658435</v>
      </c>
      <c r="C1388" s="2" t="s">
        <v>569</v>
      </c>
      <c r="D1388" s="2" t="str">
        <f t="shared" si="20"/>
        <v>Error?</v>
      </c>
    </row>
    <row r="1389" spans="1:4" x14ac:dyDescent="0.2">
      <c r="A1389" s="5">
        <v>1328</v>
      </c>
      <c r="B1389" s="1832">
        <f>'Expenditures 15-22'!K211</f>
        <v>53846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192</v>
      </c>
      <c r="D1407" s="2" t="str">
        <f t="shared" ref="D1407:D1470" si="21">IF(ISBLANK(B1407),"OK",IF(A1407-B1407=0,"OK","Error?"))</f>
        <v>Error?</v>
      </c>
    </row>
    <row r="1408" spans="1:4" x14ac:dyDescent="0.2">
      <c r="A1408" s="5">
        <v>1347</v>
      </c>
      <c r="B1408" s="1832">
        <f>'Expenditures 15-22'!D223</f>
        <v>5917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88527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1135</v>
      </c>
      <c r="D1412" s="2" t="str">
        <f t="shared" si="21"/>
        <v>Error?</v>
      </c>
    </row>
    <row r="1413" spans="1:4" x14ac:dyDescent="0.2">
      <c r="A1413" s="5">
        <v>1352</v>
      </c>
      <c r="B1413" s="1832">
        <f>'Expenditures 15-22'!D234</f>
        <v>4903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6038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4216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4216</v>
      </c>
      <c r="C1421" s="2" t="s">
        <v>569</v>
      </c>
      <c r="D1421" s="2" t="str">
        <f t="shared" si="21"/>
        <v>Error?</v>
      </c>
    </row>
    <row r="1422" spans="1:4" x14ac:dyDescent="0.2">
      <c r="A1422" s="5">
        <v>1361</v>
      </c>
      <c r="B1422" s="1832">
        <f>'Expenditures 15-22'!D245</f>
        <v>324</v>
      </c>
      <c r="D1422" s="2" t="str">
        <f t="shared" si="21"/>
        <v>Error?</v>
      </c>
    </row>
    <row r="1423" spans="1:4" x14ac:dyDescent="0.2">
      <c r="A1423" s="5">
        <v>1362</v>
      </c>
      <c r="B1423" s="1832">
        <f>'Expenditures 15-22'!D246</f>
        <v>2242</v>
      </c>
      <c r="D1423" s="2" t="str">
        <f t="shared" si="21"/>
        <v>Error?</v>
      </c>
    </row>
    <row r="1424" spans="1:4" x14ac:dyDescent="0.2">
      <c r="A1424" s="5">
        <v>1363</v>
      </c>
      <c r="B1424" s="1832">
        <f>'Expenditures 15-22'!D257</f>
        <v>2566</v>
      </c>
      <c r="C1424" s="2" t="s">
        <v>569</v>
      </c>
      <c r="D1424" s="2" t="str">
        <f t="shared" si="21"/>
        <v>Error?</v>
      </c>
    </row>
    <row r="1425" spans="1:4" x14ac:dyDescent="0.2">
      <c r="A1425" s="5">
        <v>1364</v>
      </c>
      <c r="B1425" s="1832">
        <f>'Expenditures 15-22'!D259</f>
        <v>26884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26884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10860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48602</v>
      </c>
      <c r="D1431" s="2" t="str">
        <f t="shared" si="21"/>
        <v>Error?</v>
      </c>
    </row>
    <row r="1432" spans="1:4" x14ac:dyDescent="0.2">
      <c r="A1432" s="5">
        <v>1371</v>
      </c>
      <c r="B1432" s="1832">
        <f>'Expenditures 15-22'!D267</f>
        <v>31535</v>
      </c>
      <c r="D1432" s="2" t="str">
        <f t="shared" si="21"/>
        <v>Error?</v>
      </c>
    </row>
    <row r="1433" spans="1:4" x14ac:dyDescent="0.2">
      <c r="A1433" s="5">
        <v>1372</v>
      </c>
      <c r="B1433" s="1832">
        <f>'Expenditures 15-22'!D268</f>
        <v>9800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100797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140501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256710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192</v>
      </c>
      <c r="C1471" s="2" t="s">
        <v>569</v>
      </c>
      <c r="D1471" s="2" t="str">
        <f t="shared" ref="D1471:D1534" si="22">IF(ISBLANK(B1471),"OK",IF(A1471-B1471=0,"OK","Error?"))</f>
        <v>Error?</v>
      </c>
    </row>
    <row r="1472" spans="1:4" x14ac:dyDescent="0.2">
      <c r="A1472" s="5">
        <v>1411</v>
      </c>
      <c r="B1472" s="1832">
        <f>'Expenditures 15-22'!K223</f>
        <v>5917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88527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1135</v>
      </c>
      <c r="C1476" s="2" t="s">
        <v>569</v>
      </c>
      <c r="D1476" s="2" t="str">
        <f t="shared" si="22"/>
        <v>Error?</v>
      </c>
    </row>
    <row r="1477" spans="1:4" x14ac:dyDescent="0.2">
      <c r="A1477" s="5">
        <v>1416</v>
      </c>
      <c r="B1477" s="1832">
        <f>'Expenditures 15-22'!K234</f>
        <v>4903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6038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4216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4216</v>
      </c>
      <c r="C1485" s="2" t="s">
        <v>569</v>
      </c>
      <c r="D1485" s="2" t="str">
        <f t="shared" si="22"/>
        <v>Error?</v>
      </c>
    </row>
    <row r="1486" spans="1:4" x14ac:dyDescent="0.2">
      <c r="A1486" s="5">
        <v>1425</v>
      </c>
      <c r="B1486" s="1832">
        <f>'Expenditures 15-22'!K245</f>
        <v>324</v>
      </c>
      <c r="C1486" s="2" t="s">
        <v>569</v>
      </c>
      <c r="D1486" s="2" t="str">
        <f t="shared" si="22"/>
        <v>Error?</v>
      </c>
    </row>
    <row r="1487" spans="1:4" x14ac:dyDescent="0.2">
      <c r="A1487" s="5">
        <v>1426</v>
      </c>
      <c r="B1487" s="1832">
        <f>'Expenditures 15-22'!K246</f>
        <v>2242</v>
      </c>
      <c r="C1487" s="2" t="s">
        <v>569</v>
      </c>
      <c r="D1487" s="2" t="str">
        <f t="shared" si="22"/>
        <v>Error?</v>
      </c>
    </row>
    <row r="1488" spans="1:4" x14ac:dyDescent="0.2">
      <c r="A1488" s="5">
        <v>1427</v>
      </c>
      <c r="B1488" s="1832">
        <f>'Expenditures 15-22'!K257</f>
        <v>2566</v>
      </c>
      <c r="C1488" s="2" t="s">
        <v>569</v>
      </c>
      <c r="D1488" s="2" t="str">
        <f t="shared" si="22"/>
        <v>Error?</v>
      </c>
    </row>
    <row r="1489" spans="1:4" x14ac:dyDescent="0.2">
      <c r="A1489" s="5">
        <v>1428</v>
      </c>
      <c r="B1489" s="1832">
        <f>'Expenditures 15-22'!K259</f>
        <v>26884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26884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10860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48602</v>
      </c>
      <c r="C1495" s="2" t="s">
        <v>569</v>
      </c>
      <c r="D1495" s="2" t="str">
        <f t="shared" si="22"/>
        <v>Error?</v>
      </c>
    </row>
    <row r="1496" spans="1:4" x14ac:dyDescent="0.2">
      <c r="A1496" s="5">
        <v>1435</v>
      </c>
      <c r="B1496" s="1832">
        <f>'Expenditures 15-22'!K267</f>
        <v>31535</v>
      </c>
      <c r="C1496" s="2" t="s">
        <v>569</v>
      </c>
      <c r="D1496" s="2" t="str">
        <f t="shared" si="22"/>
        <v>Error?</v>
      </c>
    </row>
    <row r="1497" spans="1:4" x14ac:dyDescent="0.2">
      <c r="A1497" s="5">
        <v>1436</v>
      </c>
      <c r="B1497" s="1832">
        <f>'Expenditures 15-22'!K268</f>
        <v>9800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100797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140501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256710</v>
      </c>
      <c r="C1517" s="2" t="s">
        <v>569</v>
      </c>
      <c r="D1517" s="2" t="str">
        <f t="shared" si="22"/>
        <v>Error?</v>
      </c>
    </row>
    <row r="1518" spans="1:4" x14ac:dyDescent="0.2">
      <c r="A1518" s="5">
        <v>1457</v>
      </c>
      <c r="B1518" s="1832">
        <f>'Expenditures 15-22'!K296</f>
        <v>35249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22885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22885</v>
      </c>
      <c r="C1535" s="2" t="s">
        <v>569</v>
      </c>
      <c r="D1535" s="2" t="str">
        <f t="shared" ref="D1535:D1598" si="23">IF(ISBLANK(B1535),"OK",IF(A1535-B1535=0,"OK","Error?"))</f>
        <v>Error?</v>
      </c>
    </row>
    <row r="1536" spans="1:4" x14ac:dyDescent="0.2">
      <c r="A1536" s="5">
        <v>1475</v>
      </c>
      <c r="B1536" s="1832">
        <f>'Expenditures 15-22'!E312</f>
        <v>22885</v>
      </c>
      <c r="C1536" s="2" t="s">
        <v>569</v>
      </c>
      <c r="D1536" s="2" t="str">
        <f t="shared" si="23"/>
        <v>Error?</v>
      </c>
    </row>
    <row r="1537" spans="1:4" x14ac:dyDescent="0.2">
      <c r="A1537" s="5">
        <v>1476</v>
      </c>
      <c r="B1537" s="1832">
        <f>'Expenditures 15-22'!F301</f>
        <v>187</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187</v>
      </c>
      <c r="C1541" s="2" t="s">
        <v>569</v>
      </c>
      <c r="D1541" s="2" t="str">
        <f t="shared" si="23"/>
        <v>Error?</v>
      </c>
    </row>
    <row r="1542" spans="1:4" x14ac:dyDescent="0.2">
      <c r="A1542" s="5">
        <v>1481</v>
      </c>
      <c r="B1542" s="1832">
        <f>'Expenditures 15-22'!F312</f>
        <v>187</v>
      </c>
      <c r="C1542" s="2" t="s">
        <v>569</v>
      </c>
      <c r="D1542" s="2" t="str">
        <f t="shared" si="23"/>
        <v>Error?</v>
      </c>
    </row>
    <row r="1543" spans="1:4" x14ac:dyDescent="0.2">
      <c r="A1543" s="5">
        <v>1482</v>
      </c>
      <c r="B1543" s="1832">
        <f>'Expenditures 15-22'!G301</f>
        <v>431688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431688</v>
      </c>
      <c r="C1547" s="2" t="s">
        <v>569</v>
      </c>
      <c r="D1547" s="2" t="str">
        <f t="shared" si="23"/>
        <v>Error?</v>
      </c>
    </row>
    <row r="1548" spans="1:4" x14ac:dyDescent="0.2">
      <c r="A1548" s="5">
        <v>1487</v>
      </c>
      <c r="B1548" s="1832">
        <f>'Expenditures 15-22'!G312</f>
        <v>431688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454760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454760</v>
      </c>
      <c r="C1559" s="2" t="s">
        <v>569</v>
      </c>
      <c r="D1559" s="2" t="str">
        <f t="shared" si="23"/>
        <v>Error?</v>
      </c>
    </row>
    <row r="1560" spans="1:4" x14ac:dyDescent="0.2">
      <c r="A1560" s="5">
        <v>1499</v>
      </c>
      <c r="B1560" s="1832">
        <f>'Expenditures 15-22'!K312</f>
        <v>454760</v>
      </c>
      <c r="C1560" s="2" t="s">
        <v>569</v>
      </c>
      <c r="D1560" s="2" t="str">
        <f t="shared" si="23"/>
        <v>Error?</v>
      </c>
    </row>
    <row r="1561" spans="1:4" x14ac:dyDescent="0.2">
      <c r="A1561" s="5">
        <v>1500</v>
      </c>
      <c r="B1561" s="1832">
        <f>'Expenditures 15-22'!K313</f>
        <v>-377045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1307141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1250731</v>
      </c>
      <c r="C1630" s="2" t="s">
        <v>569</v>
      </c>
      <c r="D1630" s="2" t="str">
        <f t="shared" si="24"/>
        <v>Error?</v>
      </c>
    </row>
    <row r="1631" spans="1:4" x14ac:dyDescent="0.2">
      <c r="A1631" s="5">
        <v>1570</v>
      </c>
      <c r="B1631" s="1832">
        <f>'Acct Summary 7-8'!D79</f>
        <v>710788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594807</v>
      </c>
      <c r="C1644" s="2" t="s">
        <v>569</v>
      </c>
      <c r="D1644" s="2" t="str">
        <f t="shared" si="24"/>
        <v>Error?</v>
      </c>
    </row>
    <row r="1645" spans="1:4" x14ac:dyDescent="0.2">
      <c r="A1645" s="5">
        <v>1584</v>
      </c>
      <c r="B1645" s="1832">
        <f>'Acct Summary 7-8'!E79</f>
        <v>614016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620439</v>
      </c>
      <c r="C1658" s="2" t="s">
        <v>569</v>
      </c>
      <c r="D1658" s="2" t="str">
        <f t="shared" si="24"/>
        <v>Error?</v>
      </c>
    </row>
    <row r="1659" spans="1:4" x14ac:dyDescent="0.2">
      <c r="A1659" s="5">
        <v>1598</v>
      </c>
      <c r="B1659" s="1832">
        <f>'Acct Summary 7-8'!F79</f>
        <v>580039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633885</v>
      </c>
      <c r="C1672" s="2" t="s">
        <v>569</v>
      </c>
      <c r="D1672" s="2" t="str">
        <f t="shared" si="25"/>
        <v>Error?</v>
      </c>
    </row>
    <row r="1673" spans="1:4" x14ac:dyDescent="0.2">
      <c r="A1673" s="5">
        <v>1612</v>
      </c>
      <c r="B1673" s="1832">
        <f>'Acct Summary 7-8'!G79</f>
        <v>300151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335400</v>
      </c>
      <c r="C1686" s="2" t="s">
        <v>569</v>
      </c>
      <c r="D1686" s="2" t="str">
        <f t="shared" si="25"/>
        <v>Error?</v>
      </c>
    </row>
    <row r="1687" spans="1:4" x14ac:dyDescent="0.2">
      <c r="A1687" s="5">
        <v>1626</v>
      </c>
      <c r="B1687" s="1832">
        <f>'Acct Summary 7-8'!H79</f>
        <v>537144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160099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3273404</v>
      </c>
      <c r="C1744" s="2" t="s">
        <v>569</v>
      </c>
      <c r="D1744" s="2" t="str">
        <f t="shared" si="26"/>
        <v>Error?</v>
      </c>
    </row>
    <row r="1745" spans="1:5" x14ac:dyDescent="0.2">
      <c r="A1745" s="5">
        <v>1684</v>
      </c>
      <c r="B1745" s="1832">
        <f>'Tax Sched 23'!B5</f>
        <v>665325</v>
      </c>
      <c r="C1745" s="2" t="s">
        <v>569</v>
      </c>
      <c r="D1745" s="2" t="str">
        <f t="shared" si="26"/>
        <v>Error?</v>
      </c>
    </row>
    <row r="1746" spans="1:5" x14ac:dyDescent="0.2">
      <c r="A1746" s="5">
        <v>1685</v>
      </c>
      <c r="B1746" s="1832">
        <f>'Tax Sched 23'!B6</f>
        <v>789188</v>
      </c>
      <c r="C1746" s="2" t="s">
        <v>569</v>
      </c>
      <c r="D1746" s="2" t="str">
        <f t="shared" si="26"/>
        <v>Error?</v>
      </c>
    </row>
    <row r="1747" spans="1:5" x14ac:dyDescent="0.2">
      <c r="A1747" s="5">
        <v>1686</v>
      </c>
      <c r="B1747" s="1832">
        <f>'Tax Sched 23'!B7</f>
        <v>266130</v>
      </c>
      <c r="C1747" s="2" t="s">
        <v>569</v>
      </c>
      <c r="D1747" s="2" t="str">
        <f t="shared" si="26"/>
        <v>Error?</v>
      </c>
    </row>
    <row r="1748" spans="1:5" x14ac:dyDescent="0.2">
      <c r="A1748" s="5">
        <v>1687</v>
      </c>
      <c r="B1748" s="1832">
        <f>'Tax Sched 23'!B8</f>
        <v>99852</v>
      </c>
      <c r="C1748" s="2" t="s">
        <v>569</v>
      </c>
      <c r="D1748" s="2" t="str">
        <f t="shared" si="26"/>
        <v>Error?</v>
      </c>
    </row>
    <row r="1749" spans="1:5" x14ac:dyDescent="0.2">
      <c r="A1749" s="5">
        <v>1688</v>
      </c>
      <c r="B1749" s="1832">
        <f>'Tax Sched 23'!B10</f>
        <v>66532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314499</v>
      </c>
      <c r="C1752" s="2" t="s">
        <v>569</v>
      </c>
      <c r="D1752" s="2" t="str">
        <f t="shared" si="26"/>
        <v>Error?</v>
      </c>
    </row>
    <row r="1753" spans="1:5" x14ac:dyDescent="0.2">
      <c r="A1753" s="5">
        <v>1692</v>
      </c>
      <c r="B1753" s="1832">
        <f>'Tax Sched 23'!B12</f>
        <v>66532</v>
      </c>
      <c r="C1753" s="2" t="s">
        <v>569</v>
      </c>
      <c r="D1753" s="2" t="str">
        <f t="shared" si="26"/>
        <v>Error?</v>
      </c>
    </row>
    <row r="1754" spans="1:5" x14ac:dyDescent="0.2">
      <c r="A1754" s="5">
        <v>1693</v>
      </c>
      <c r="B1754" s="1832">
        <f>'Tax Sched 23'!B14</f>
        <v>53226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5835948</v>
      </c>
      <c r="C1759" s="2" t="s">
        <v>569</v>
      </c>
      <c r="D1759" s="2" t="str">
        <f t="shared" si="26"/>
        <v>Error?</v>
      </c>
    </row>
    <row r="1760" spans="1:5" x14ac:dyDescent="0.2">
      <c r="A1760" s="5">
        <v>1699</v>
      </c>
      <c r="B1760" s="1832">
        <f>'Tax Sched 23'!D4</f>
        <v>3273404</v>
      </c>
      <c r="C1760" s="2" t="s">
        <v>569</v>
      </c>
      <c r="D1760" s="2" t="str">
        <f t="shared" si="26"/>
        <v>Error?</v>
      </c>
    </row>
    <row r="1761" spans="1:7" x14ac:dyDescent="0.2">
      <c r="A1761" s="5">
        <v>1700</v>
      </c>
      <c r="B1761" s="1832">
        <f>'Tax Sched 23'!D5</f>
        <v>665325</v>
      </c>
      <c r="C1761" s="2" t="s">
        <v>569</v>
      </c>
      <c r="D1761" s="2" t="str">
        <f t="shared" si="26"/>
        <v>Error?</v>
      </c>
    </row>
    <row r="1762" spans="1:7" s="8" customFormat="1" x14ac:dyDescent="0.2">
      <c r="A1762" s="5">
        <v>1701</v>
      </c>
      <c r="B1762" s="1832">
        <f>'Tax Sched 23'!D6</f>
        <v>789188</v>
      </c>
      <c r="C1762" s="2" t="s">
        <v>569</v>
      </c>
      <c r="D1762" s="2" t="str">
        <f t="shared" si="26"/>
        <v>Error?</v>
      </c>
      <c r="E1762" s="9"/>
      <c r="G1762"/>
    </row>
    <row r="1763" spans="1:7" x14ac:dyDescent="0.2">
      <c r="A1763" s="5">
        <v>1702</v>
      </c>
      <c r="B1763" s="1832">
        <f>'Tax Sched 23'!D7</f>
        <v>266130</v>
      </c>
      <c r="C1763" s="2" t="s">
        <v>569</v>
      </c>
      <c r="D1763" s="2" t="str">
        <f t="shared" si="26"/>
        <v>Error?</v>
      </c>
    </row>
    <row r="1764" spans="1:7" x14ac:dyDescent="0.2">
      <c r="A1764" s="5">
        <v>1703</v>
      </c>
      <c r="B1764" s="1832">
        <f>'Tax Sched 23'!D8</f>
        <v>99852</v>
      </c>
      <c r="C1764" s="2" t="s">
        <v>569</v>
      </c>
      <c r="D1764" s="2" t="str">
        <f t="shared" si="26"/>
        <v>Error?</v>
      </c>
    </row>
    <row r="1765" spans="1:7" x14ac:dyDescent="0.2">
      <c r="A1765" s="5">
        <v>1704</v>
      </c>
      <c r="B1765" s="1832">
        <f>'Tax Sched 23'!D10</f>
        <v>66532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314499</v>
      </c>
      <c r="C1768" s="2" t="s">
        <v>569</v>
      </c>
      <c r="D1768" s="2" t="str">
        <f t="shared" si="26"/>
        <v>Error?</v>
      </c>
    </row>
    <row r="1769" spans="1:7" x14ac:dyDescent="0.2">
      <c r="A1769" s="5">
        <v>1708</v>
      </c>
      <c r="B1769" s="1832">
        <f>'Tax Sched 23'!D12</f>
        <v>66532</v>
      </c>
      <c r="C1769" s="2" t="s">
        <v>569</v>
      </c>
      <c r="D1769" s="2" t="str">
        <f t="shared" si="26"/>
        <v>Error?</v>
      </c>
    </row>
    <row r="1770" spans="1:7" x14ac:dyDescent="0.2">
      <c r="A1770" s="5">
        <v>1709</v>
      </c>
      <c r="B1770" s="1832">
        <f>'Tax Sched 23'!D14</f>
        <v>53226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5835948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3325369</v>
      </c>
      <c r="C1792" s="2" t="s">
        <v>569</v>
      </c>
      <c r="D1792" s="2" t="str">
        <f t="shared" si="27"/>
        <v>Error?</v>
      </c>
    </row>
    <row r="1793" spans="1:4" x14ac:dyDescent="0.2">
      <c r="A1793" s="5">
        <v>1732</v>
      </c>
      <c r="B1793" s="1832">
        <f>'Tax Sched 23'!F5</f>
        <v>675888</v>
      </c>
      <c r="C1793" s="2" t="s">
        <v>569</v>
      </c>
      <c r="D1793" s="2" t="str">
        <f t="shared" si="27"/>
        <v>Error?</v>
      </c>
    </row>
    <row r="1794" spans="1:4" x14ac:dyDescent="0.2">
      <c r="A1794" s="5">
        <v>1733</v>
      </c>
      <c r="B1794" s="1832">
        <f>'Tax Sched 23'!F6</f>
        <v>801257</v>
      </c>
      <c r="C1794" s="2" t="s">
        <v>569</v>
      </c>
      <c r="D1794" s="2" t="str">
        <f t="shared" si="27"/>
        <v>Error?</v>
      </c>
    </row>
    <row r="1795" spans="1:4" x14ac:dyDescent="0.2">
      <c r="A1795" s="5">
        <v>1734</v>
      </c>
      <c r="B1795" s="1832">
        <f>'Tax Sched 23'!F7</f>
        <v>270355</v>
      </c>
      <c r="C1795" s="2" t="s">
        <v>569</v>
      </c>
      <c r="D1795" s="2" t="str">
        <f t="shared" si="27"/>
        <v>Error?</v>
      </c>
    </row>
    <row r="1796" spans="1:4" x14ac:dyDescent="0.2">
      <c r="A1796" s="5">
        <v>1735</v>
      </c>
      <c r="B1796" s="1832">
        <f>'Tax Sched 23'!F8</f>
        <v>100004</v>
      </c>
      <c r="C1796" s="2" t="s">
        <v>569</v>
      </c>
      <c r="D1796" s="2" t="str">
        <f t="shared" si="27"/>
        <v>Error?</v>
      </c>
    </row>
    <row r="1797" spans="1:4" x14ac:dyDescent="0.2">
      <c r="A1797" s="5">
        <v>1736</v>
      </c>
      <c r="B1797" s="1832">
        <f>'Tax Sched 23'!F10</f>
        <v>67589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315004</v>
      </c>
      <c r="C1800" s="2" t="s">
        <v>569</v>
      </c>
      <c r="D1800" s="2" t="str">
        <f t="shared" si="27"/>
        <v>Error?</v>
      </c>
    </row>
    <row r="1801" spans="1:4" x14ac:dyDescent="0.2">
      <c r="A1801" s="5">
        <v>1740</v>
      </c>
      <c r="B1801" s="1832">
        <f>'Tax Sched 23'!F12</f>
        <v>67589</v>
      </c>
      <c r="C1801" s="2" t="s">
        <v>569</v>
      </c>
      <c r="D1801" s="2" t="str">
        <f t="shared" si="27"/>
        <v>Error?</v>
      </c>
    </row>
    <row r="1802" spans="1:4" x14ac:dyDescent="0.2">
      <c r="A1802" s="5">
        <v>1741</v>
      </c>
      <c r="B1802" s="1832">
        <f>'Tax Sched 23'!F14</f>
        <v>54071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5919716</v>
      </c>
      <c r="C1807" s="2" t="s">
        <v>569</v>
      </c>
      <c r="D1807" s="2" t="str">
        <f t="shared" si="27"/>
        <v>Error?</v>
      </c>
    </row>
    <row r="1808" spans="1:4" x14ac:dyDescent="0.2">
      <c r="A1808" s="5">
        <v>1747</v>
      </c>
      <c r="B1808" s="1832">
        <f>'Tax Sched 23'!E4</f>
        <v>3325369</v>
      </c>
      <c r="D1808" s="2" t="str">
        <f t="shared" si="27"/>
        <v>Error?</v>
      </c>
    </row>
    <row r="1809" spans="1:4" x14ac:dyDescent="0.2">
      <c r="A1809" s="5">
        <v>1748</v>
      </c>
      <c r="B1809" s="1832">
        <f>'Tax Sched 23'!E5</f>
        <v>675888</v>
      </c>
      <c r="D1809" s="2" t="str">
        <f t="shared" si="27"/>
        <v>Error?</v>
      </c>
    </row>
    <row r="1810" spans="1:4" x14ac:dyDescent="0.2">
      <c r="A1810" s="5">
        <v>1749</v>
      </c>
      <c r="B1810" s="1832">
        <f>'Tax Sched 23'!E6</f>
        <v>801257</v>
      </c>
      <c r="D1810" s="2" t="str">
        <f t="shared" si="27"/>
        <v>Error?</v>
      </c>
    </row>
    <row r="1811" spans="1:4" x14ac:dyDescent="0.2">
      <c r="A1811" s="5">
        <v>1750</v>
      </c>
      <c r="B1811" s="1832">
        <f>'Tax Sched 23'!E7</f>
        <v>270355</v>
      </c>
      <c r="D1811" s="2" t="str">
        <f t="shared" si="27"/>
        <v>Error?</v>
      </c>
    </row>
    <row r="1812" spans="1:4" x14ac:dyDescent="0.2">
      <c r="A1812" s="5">
        <v>1751</v>
      </c>
      <c r="B1812" s="1832">
        <f>'Tax Sched 23'!E8</f>
        <v>100004</v>
      </c>
      <c r="D1812" s="2" t="str">
        <f t="shared" si="27"/>
        <v>Error?</v>
      </c>
    </row>
    <row r="1813" spans="1:4" x14ac:dyDescent="0.2">
      <c r="A1813" s="5">
        <v>1752</v>
      </c>
      <c r="B1813" s="1832">
        <f>'Tax Sched 23'!E10</f>
        <v>67589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315004</v>
      </c>
      <c r="D1816" s="2" t="str">
        <f t="shared" si="27"/>
        <v>Error?</v>
      </c>
    </row>
    <row r="1817" spans="1:4" x14ac:dyDescent="0.2">
      <c r="A1817" s="5">
        <v>1756</v>
      </c>
      <c r="B1817" s="1832">
        <f>'Tax Sched 23'!E12</f>
        <v>67589</v>
      </c>
      <c r="D1817" s="2" t="str">
        <f t="shared" si="27"/>
        <v>Error?</v>
      </c>
    </row>
    <row r="1818" spans="1:4" x14ac:dyDescent="0.2">
      <c r="A1818" s="5">
        <v>1757</v>
      </c>
      <c r="B1818" s="1832">
        <f>'Tax Sched 23'!E14</f>
        <v>54071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5919716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11040000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53226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53226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53226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75875</v>
      </c>
      <c r="D2008" s="2" t="str">
        <f t="shared" si="30"/>
        <v>Error?</v>
      </c>
    </row>
    <row r="2009" spans="1:4" x14ac:dyDescent="0.2">
      <c r="A2009" s="5">
        <v>1948</v>
      </c>
      <c r="B2009" s="1832">
        <f>'Cap Outlay Deprec 26'!C8</f>
        <v>24446094</v>
      </c>
      <c r="D2009" s="2" t="str">
        <f t="shared" si="30"/>
        <v>Error?</v>
      </c>
    </row>
    <row r="2010" spans="1:4" x14ac:dyDescent="0.2">
      <c r="A2010" s="5">
        <v>1949</v>
      </c>
      <c r="B2010" s="1832">
        <f>'Cap Outlay Deprec 26'!C10</f>
        <v>5498626</v>
      </c>
      <c r="D2010" s="2" t="str">
        <f t="shared" si="30"/>
        <v>Error?</v>
      </c>
    </row>
    <row r="2011" spans="1:4" x14ac:dyDescent="0.2">
      <c r="A2011" s="5">
        <v>1950</v>
      </c>
      <c r="B2011" s="1832">
        <f>'Cap Outlay Deprec 26'!C12</f>
        <v>1127011</v>
      </c>
      <c r="D2011" s="2" t="str">
        <f t="shared" si="30"/>
        <v>Error?</v>
      </c>
    </row>
    <row r="2012" spans="1:4" x14ac:dyDescent="0.2">
      <c r="A2012" s="5">
        <v>1951</v>
      </c>
      <c r="B2012" s="1832">
        <f>'Cap Outlay Deprec 26'!C13</f>
        <v>152349</v>
      </c>
      <c r="D2012" s="2" t="str">
        <f t="shared" si="30"/>
        <v>Error?</v>
      </c>
    </row>
    <row r="2013" spans="1:4" x14ac:dyDescent="0.2">
      <c r="A2013" s="5">
        <v>1952</v>
      </c>
      <c r="B2013" s="1832">
        <f>'Cap Outlay Deprec 26'!C16</f>
        <v>31299955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146327</v>
      </c>
      <c r="D2015" s="2" t="str">
        <f t="shared" si="30"/>
        <v>Error?</v>
      </c>
    </row>
    <row r="2016" spans="1:4" x14ac:dyDescent="0.2">
      <c r="A2016" s="5">
        <v>1955</v>
      </c>
      <c r="B2016" s="1832">
        <f>'Cap Outlay Deprec 26'!D10</f>
        <v>348739</v>
      </c>
      <c r="D2016" s="2" t="str">
        <f t="shared" si="30"/>
        <v>Error?</v>
      </c>
    </row>
    <row r="2017" spans="1:4" x14ac:dyDescent="0.2">
      <c r="A2017" s="5">
        <v>1956</v>
      </c>
      <c r="B2017" s="1832">
        <f>'Cap Outlay Deprec 26'!D12</f>
        <v>86661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581727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75875</v>
      </c>
      <c r="C2026" s="2" t="s">
        <v>569</v>
      </c>
      <c r="D2026" s="2" t="str">
        <f t="shared" si="30"/>
        <v>Error?</v>
      </c>
    </row>
    <row r="2027" spans="1:4" x14ac:dyDescent="0.2">
      <c r="A2027" s="5">
        <v>1966</v>
      </c>
      <c r="B2027" s="1832">
        <f>'Cap Outlay Deprec 26'!F8</f>
        <v>24592421</v>
      </c>
      <c r="C2027" s="2" t="s">
        <v>569</v>
      </c>
      <c r="D2027" s="2" t="str">
        <f t="shared" si="30"/>
        <v>Error?</v>
      </c>
    </row>
    <row r="2028" spans="1:4" x14ac:dyDescent="0.2">
      <c r="A2028" s="5">
        <v>1967</v>
      </c>
      <c r="B2028" s="1832">
        <f>'Cap Outlay Deprec 26'!F10</f>
        <v>5847365</v>
      </c>
      <c r="C2028" s="2" t="s">
        <v>569</v>
      </c>
      <c r="D2028" s="2" t="str">
        <f t="shared" si="30"/>
        <v>Error?</v>
      </c>
    </row>
    <row r="2029" spans="1:4" x14ac:dyDescent="0.2">
      <c r="A2029" s="5">
        <v>1968</v>
      </c>
      <c r="B2029" s="1832">
        <f>'Cap Outlay Deprec 26'!F12</f>
        <v>1213672</v>
      </c>
      <c r="C2029" s="2" t="s">
        <v>569</v>
      </c>
      <c r="D2029" s="2" t="str">
        <f t="shared" si="30"/>
        <v>Error?</v>
      </c>
    </row>
    <row r="2030" spans="1:4" x14ac:dyDescent="0.2">
      <c r="A2030" s="5">
        <v>1969</v>
      </c>
      <c r="B2030" s="1832">
        <f>'Cap Outlay Deprec 26'!F13</f>
        <v>152349</v>
      </c>
      <c r="C2030" s="2" t="s">
        <v>569</v>
      </c>
      <c r="D2030" s="2" t="str">
        <f t="shared" si="30"/>
        <v>Error?</v>
      </c>
    </row>
    <row r="2031" spans="1:4" x14ac:dyDescent="0.2">
      <c r="A2031" s="5">
        <v>1970</v>
      </c>
      <c r="B2031" s="1832">
        <f>'Cap Outlay Deprec 26'!F16</f>
        <v>31881682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8824469</v>
      </c>
      <c r="D2033" s="2" t="str">
        <f t="shared" si="30"/>
        <v>Error?</v>
      </c>
    </row>
    <row r="2034" spans="1:4" x14ac:dyDescent="0.2">
      <c r="A2034" s="5">
        <v>1973</v>
      </c>
      <c r="B2034" s="1832">
        <f>'Cap Outlay Deprec 26'!H10</f>
        <v>739282</v>
      </c>
      <c r="D2034" s="2" t="str">
        <f t="shared" si="30"/>
        <v>Error?</v>
      </c>
    </row>
    <row r="2035" spans="1:4" x14ac:dyDescent="0.2">
      <c r="A2035" s="5">
        <v>1974</v>
      </c>
      <c r="B2035" s="1832">
        <f>'Cap Outlay Deprec 26'!H12</f>
        <v>710147</v>
      </c>
      <c r="D2035" s="2" t="str">
        <f t="shared" si="30"/>
        <v>Error?</v>
      </c>
    </row>
    <row r="2036" spans="1:4" x14ac:dyDescent="0.2">
      <c r="A2036" s="5">
        <v>1975</v>
      </c>
      <c r="B2036" s="1832">
        <f>'Cap Outlay Deprec 26'!H13</f>
        <v>124705</v>
      </c>
      <c r="D2036" s="2" t="str">
        <f t="shared" si="30"/>
        <v>Error?</v>
      </c>
    </row>
    <row r="2037" spans="1:4" x14ac:dyDescent="0.2">
      <c r="A2037" s="5">
        <v>1976</v>
      </c>
      <c r="B2037" s="1832">
        <f>'Cap Outlay Deprec 26'!H16</f>
        <v>10398603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491180</v>
      </c>
      <c r="D2039" s="2" t="str">
        <f t="shared" si="30"/>
        <v>Error?</v>
      </c>
    </row>
    <row r="2040" spans="1:4" x14ac:dyDescent="0.2">
      <c r="A2040" s="5">
        <v>1979</v>
      </c>
      <c r="B2040" s="1832">
        <f>'Cap Outlay Deprec 26'!I10</f>
        <v>282500</v>
      </c>
      <c r="D2040" s="2" t="str">
        <f t="shared" si="30"/>
        <v>Error?</v>
      </c>
    </row>
    <row r="2041" spans="1:4" x14ac:dyDescent="0.2">
      <c r="A2041" s="5">
        <v>1980</v>
      </c>
      <c r="B2041" s="1832">
        <f>'Cap Outlay Deprec 26'!I12</f>
        <v>67053</v>
      </c>
      <c r="D2041" s="2" t="str">
        <f t="shared" si="30"/>
        <v>Error?</v>
      </c>
    </row>
    <row r="2042" spans="1:4" x14ac:dyDescent="0.2">
      <c r="A2042" s="5">
        <v>1981</v>
      </c>
      <c r="B2042" s="1832">
        <f>'Cap Outlay Deprec 26'!I13</f>
        <v>19331</v>
      </c>
      <c r="D2042" s="2" t="str">
        <f t="shared" si="30"/>
        <v>Error?</v>
      </c>
    </row>
    <row r="2043" spans="1:4" x14ac:dyDescent="0.2">
      <c r="A2043" s="5">
        <v>1982</v>
      </c>
      <c r="B2043" s="1832">
        <f>'Cap Outlay Deprec 26'!I16</f>
        <v>860064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9315649</v>
      </c>
      <c r="C2051" s="2" t="s">
        <v>569</v>
      </c>
      <c r="D2051" s="2" t="str">
        <f t="shared" si="31"/>
        <v>Error?</v>
      </c>
    </row>
    <row r="2052" spans="1:4" x14ac:dyDescent="0.2">
      <c r="A2052" s="5">
        <v>1991</v>
      </c>
      <c r="B2052" s="1832">
        <f>'Cap Outlay Deprec 26'!K10</f>
        <v>1021782</v>
      </c>
      <c r="C2052" s="2" t="s">
        <v>569</v>
      </c>
      <c r="D2052" s="2" t="str">
        <f t="shared" si="31"/>
        <v>Error?</v>
      </c>
    </row>
    <row r="2053" spans="1:4" x14ac:dyDescent="0.2">
      <c r="A2053" s="5">
        <v>1992</v>
      </c>
      <c r="B2053" s="1832">
        <f>'Cap Outlay Deprec 26'!K12</f>
        <v>777200</v>
      </c>
      <c r="C2053" s="2" t="s">
        <v>569</v>
      </c>
      <c r="D2053" s="2" t="str">
        <f t="shared" si="31"/>
        <v>Error?</v>
      </c>
    </row>
    <row r="2054" spans="1:4" x14ac:dyDescent="0.2">
      <c r="A2054" s="5">
        <v>1993</v>
      </c>
      <c r="B2054" s="1832">
        <f>'Cap Outlay Deprec 26'!K13</f>
        <v>144036</v>
      </c>
      <c r="C2054" s="2" t="s">
        <v>569</v>
      </c>
      <c r="D2054" s="2" t="str">
        <f t="shared" si="31"/>
        <v>Error?</v>
      </c>
    </row>
    <row r="2055" spans="1:4" x14ac:dyDescent="0.2">
      <c r="A2055" s="5">
        <v>1994</v>
      </c>
      <c r="B2055" s="1832">
        <f>'Cap Outlay Deprec 26'!K16</f>
        <v>11258667</v>
      </c>
      <c r="C2055" s="2" t="s">
        <v>569</v>
      </c>
      <c r="D2055" s="2" t="str">
        <f t="shared" si="31"/>
        <v>Error?</v>
      </c>
    </row>
    <row r="2056" spans="1:4" x14ac:dyDescent="0.2">
      <c r="A2056" s="5">
        <v>1995</v>
      </c>
      <c r="B2056" s="1832">
        <f>'Cap Outlay Deprec 26'!L5</f>
        <v>75875</v>
      </c>
      <c r="C2056" s="2" t="s">
        <v>569</v>
      </c>
      <c r="D2056" s="2" t="str">
        <f t="shared" si="31"/>
        <v>Error?</v>
      </c>
    </row>
    <row r="2057" spans="1:4" x14ac:dyDescent="0.2">
      <c r="A2057" s="5">
        <v>1996</v>
      </c>
      <c r="B2057" s="1832">
        <f>'Cap Outlay Deprec 26'!L8</f>
        <v>15276772</v>
      </c>
      <c r="C2057" s="2" t="s">
        <v>569</v>
      </c>
      <c r="D2057" s="2" t="str">
        <f t="shared" si="31"/>
        <v>Error?</v>
      </c>
    </row>
    <row r="2058" spans="1:4" x14ac:dyDescent="0.2">
      <c r="A2058" s="5">
        <v>1997</v>
      </c>
      <c r="B2058" s="1832">
        <f>'Cap Outlay Deprec 26'!L10</f>
        <v>4825583</v>
      </c>
      <c r="C2058" s="2" t="s">
        <v>569</v>
      </c>
      <c r="D2058" s="2" t="str">
        <f t="shared" si="31"/>
        <v>Error?</v>
      </c>
    </row>
    <row r="2059" spans="1:4" x14ac:dyDescent="0.2">
      <c r="A2059" s="5">
        <v>1998</v>
      </c>
      <c r="B2059" s="1832">
        <f>'Cap Outlay Deprec 26'!L12</f>
        <v>436472</v>
      </c>
      <c r="C2059" s="2" t="s">
        <v>569</v>
      </c>
      <c r="D2059" s="2" t="str">
        <f t="shared" si="31"/>
        <v>Error?</v>
      </c>
    </row>
    <row r="2060" spans="1:4" x14ac:dyDescent="0.2">
      <c r="A2060" s="5">
        <v>1999</v>
      </c>
      <c r="B2060" s="1832">
        <f>'Cap Outlay Deprec 26'!L13</f>
        <v>8313</v>
      </c>
      <c r="C2060" s="2" t="s">
        <v>569</v>
      </c>
      <c r="D2060" s="2" t="str">
        <f t="shared" si="31"/>
        <v>Error?</v>
      </c>
    </row>
    <row r="2061" spans="1:4" x14ac:dyDescent="0.2">
      <c r="A2061" s="5">
        <v>2000</v>
      </c>
      <c r="B2061" s="1832">
        <f>'Cap Outlay Deprec 26'!L16</f>
        <v>20623015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585185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91279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3626829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2558787</v>
      </c>
      <c r="C2553" s="2" t="s">
        <v>569</v>
      </c>
      <c r="D2553" s="2" t="str">
        <f t="shared" si="38"/>
        <v>Error?</v>
      </c>
    </row>
    <row r="2554" spans="1:4" x14ac:dyDescent="0.2">
      <c r="A2554" s="5">
        <v>2493</v>
      </c>
      <c r="B2554" s="1832">
        <f>'Acct Summary 7-8'!C7</f>
        <v>571758</v>
      </c>
      <c r="C2554" s="2" t="s">
        <v>569</v>
      </c>
      <c r="D2554" s="2" t="str">
        <f t="shared" si="38"/>
        <v>Error?</v>
      </c>
    </row>
    <row r="2555" spans="1:4" x14ac:dyDescent="0.2">
      <c r="A2555" s="5">
        <v>2494</v>
      </c>
      <c r="B2555" s="1832">
        <f>'Acct Summary 7-8'!C8</f>
        <v>6757374</v>
      </c>
      <c r="C2555" s="2" t="s">
        <v>569</v>
      </c>
      <c r="D2555" s="2" t="str">
        <f t="shared" si="38"/>
        <v>Error?</v>
      </c>
    </row>
    <row r="2556" spans="1:4" x14ac:dyDescent="0.2">
      <c r="A2556" s="5">
        <v>2495</v>
      </c>
      <c r="B2556" s="1832">
        <f>'Acct Summary 7-8'!C12</f>
        <v>4803929</v>
      </c>
      <c r="C2556" s="2" t="s">
        <v>569</v>
      </c>
      <c r="D2556" s="2" t="str">
        <f t="shared" si="38"/>
        <v>Error?</v>
      </c>
    </row>
    <row r="2557" spans="1:4" x14ac:dyDescent="0.2">
      <c r="A2557" s="5">
        <v>2496</v>
      </c>
      <c r="B2557" s="1832">
        <f>'Acct Summary 7-8'!C13</f>
        <v>1428780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585185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6817894</v>
      </c>
      <c r="C2561" s="2" t="s">
        <v>569</v>
      </c>
      <c r="D2561" s="2" t="str">
        <f t="shared" si="39"/>
        <v>Error?</v>
      </c>
    </row>
    <row r="2562" spans="1:4" x14ac:dyDescent="0.2">
      <c r="A2562" s="5">
        <v>2501</v>
      </c>
      <c r="B2562" s="1832">
        <f>'Acct Summary 7-8'!C20</f>
        <v>-60520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916077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966077</v>
      </c>
      <c r="C2568" s="2" t="s">
        <v>569</v>
      </c>
      <c r="D2568" s="2" t="str">
        <f t="shared" si="39"/>
        <v>Error?</v>
      </c>
    </row>
    <row r="2569" spans="1:4" x14ac:dyDescent="0.2">
      <c r="A2569" s="5">
        <v>2508</v>
      </c>
      <c r="B2569" s="1832">
        <f>'Acct Summary 7-8'!D13</f>
        <v>1082723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1082723</v>
      </c>
      <c r="C2573" s="2" t="s">
        <v>569</v>
      </c>
      <c r="D2573" s="2" t="str">
        <f t="shared" si="39"/>
        <v>Error?</v>
      </c>
    </row>
    <row r="2574" spans="1:4" x14ac:dyDescent="0.2">
      <c r="A2574" s="5">
        <v>2513</v>
      </c>
      <c r="B2574" s="1832">
        <f>'Acct Summary 7-8'!D20</f>
        <v>-116646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272268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440013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712281</v>
      </c>
      <c r="C2595" s="2" t="s">
        <v>569</v>
      </c>
      <c r="D2595" s="2" t="str">
        <f t="shared" si="39"/>
        <v>Error?</v>
      </c>
    </row>
    <row r="2596" spans="1:4" x14ac:dyDescent="0.2">
      <c r="A2596" s="5">
        <v>2535</v>
      </c>
      <c r="B2596" s="1832">
        <f>'Acct Summary 7-8'!F13</f>
        <v>658435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658435</v>
      </c>
      <c r="C2600" s="2" t="s">
        <v>569</v>
      </c>
      <c r="D2600" s="2" t="str">
        <f t="shared" si="39"/>
        <v>Error?</v>
      </c>
    </row>
    <row r="2601" spans="1:4" x14ac:dyDescent="0.2">
      <c r="A2601" s="5">
        <v>2540</v>
      </c>
      <c r="B2601" s="1832">
        <f>'Acct Summary 7-8'!F20</f>
        <v>53846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291959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291959</v>
      </c>
      <c r="C2606" s="2" t="s">
        <v>569</v>
      </c>
      <c r="D2606" s="2" t="str">
        <f t="shared" si="39"/>
        <v>Error?</v>
      </c>
    </row>
    <row r="2607" spans="1:4" x14ac:dyDescent="0.2">
      <c r="A2607" s="5">
        <v>2546</v>
      </c>
      <c r="B2607" s="1832">
        <f>'Acct Summary 7-8'!G12</f>
        <v>88527</v>
      </c>
      <c r="C2607" s="2" t="s">
        <v>569</v>
      </c>
      <c r="D2607" s="2" t="str">
        <f t="shared" si="39"/>
        <v>Error?</v>
      </c>
    </row>
    <row r="2608" spans="1:4" x14ac:dyDescent="0.2">
      <c r="A2608" s="5">
        <v>2547</v>
      </c>
      <c r="B2608" s="1832">
        <f>'Acct Summary 7-8'!G13</f>
        <v>140501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256710</v>
      </c>
      <c r="C2612" s="2" t="s">
        <v>569</v>
      </c>
      <c r="D2612" s="2" t="str">
        <f t="shared" si="39"/>
        <v>Error?</v>
      </c>
    </row>
    <row r="2613" spans="1:4" x14ac:dyDescent="0.2">
      <c r="A2613" s="5">
        <v>2552</v>
      </c>
      <c r="B2613" s="1832">
        <f>'Acct Summary 7-8'!G20</f>
        <v>35249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1319598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1319598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1309065</v>
      </c>
      <c r="C2634" s="2" t="s">
        <v>569</v>
      </c>
      <c r="D2634" s="2" t="str">
        <f t="shared" si="40"/>
        <v>Error?</v>
      </c>
    </row>
    <row r="2635" spans="1:4" x14ac:dyDescent="0.2">
      <c r="A2635" s="5">
        <v>2574</v>
      </c>
      <c r="B2635" s="1832">
        <f>'Acct Summary 7-8'!E17</f>
        <v>1309065</v>
      </c>
      <c r="C2635" s="2" t="s">
        <v>569</v>
      </c>
      <c r="D2635" s="2" t="str">
        <f t="shared" si="40"/>
        <v>Error?</v>
      </c>
    </row>
    <row r="2636" spans="1:4" x14ac:dyDescent="0.2">
      <c r="A2636" s="5">
        <v>2575</v>
      </c>
      <c r="B2636" s="1832">
        <f>'Acct Summary 7-8'!E20</f>
        <v>10533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77715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77715</v>
      </c>
      <c r="C2658" s="2" t="s">
        <v>569</v>
      </c>
      <c r="D2658" s="2" t="str">
        <f t="shared" si="40"/>
        <v>Error?</v>
      </c>
    </row>
    <row r="2659" spans="1:4" x14ac:dyDescent="0.2">
      <c r="A2659" s="5">
        <v>2598</v>
      </c>
      <c r="B2659" s="1832">
        <f>'Acct Summary 7-8'!H13</f>
        <v>454760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454760</v>
      </c>
      <c r="C2661" s="2" t="s">
        <v>569</v>
      </c>
      <c r="D2661" s="2" t="str">
        <f t="shared" si="40"/>
        <v>Error?</v>
      </c>
    </row>
    <row r="2662" spans="1:4" x14ac:dyDescent="0.2">
      <c r="A2662" s="5">
        <v>2601</v>
      </c>
      <c r="B2662" s="1832">
        <f>'Acct Summary 7-8'!H20</f>
        <v>-377045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4110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4110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3168327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3173505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241018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3173505</v>
      </c>
      <c r="D2912" s="2" t="str">
        <f t="shared" si="44"/>
        <v>Error?</v>
      </c>
    </row>
    <row r="2913" spans="1:4" x14ac:dyDescent="0.2">
      <c r="A2913" s="5">
        <v>2852</v>
      </c>
      <c r="B2913" s="1832">
        <f>'Assets-Liab 5-6'!I41</f>
        <v>3173505</v>
      </c>
      <c r="C2913" s="2" t="s">
        <v>569</v>
      </c>
      <c r="D2913" s="2" t="str">
        <f t="shared" si="44"/>
        <v>Error?</v>
      </c>
    </row>
    <row r="2914" spans="1:4" x14ac:dyDescent="0.2">
      <c r="A2914" s="5">
        <v>2853</v>
      </c>
      <c r="B2914" s="1832">
        <f>'Assets-Liab 5-6'!L33</f>
        <v>241018</v>
      </c>
      <c r="D2914" s="2" t="str">
        <f t="shared" si="44"/>
        <v>Error?</v>
      </c>
    </row>
    <row r="2915" spans="1:4" x14ac:dyDescent="0.2">
      <c r="A2915" s="10">
        <v>2854</v>
      </c>
      <c r="B2915" s="1832"/>
      <c r="D2915" s="2" t="str">
        <f t="shared" si="44"/>
        <v>OK</v>
      </c>
    </row>
    <row r="2916" spans="1:4" x14ac:dyDescent="0.2">
      <c r="A2916" s="5">
        <v>2855</v>
      </c>
      <c r="B2916" s="1832">
        <f>'Assets-Liab 5-6'!L34</f>
        <v>241018</v>
      </c>
      <c r="C2916" s="2" t="s">
        <v>569</v>
      </c>
      <c r="D2916" s="2" t="str">
        <f t="shared" si="44"/>
        <v>Error?</v>
      </c>
    </row>
    <row r="2917" spans="1:4" x14ac:dyDescent="0.2">
      <c r="A2917" s="5">
        <v>2856</v>
      </c>
      <c r="B2917" s="1832">
        <f>'Assets-Liab 5-6'!L41</f>
        <v>241018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88487</v>
      </c>
      <c r="D3055" s="2" t="str">
        <f t="shared" si="46"/>
        <v>Error?</v>
      </c>
    </row>
    <row r="3056" spans="1:4" x14ac:dyDescent="0.2">
      <c r="A3056" s="5">
        <v>2995</v>
      </c>
      <c r="B3056" s="1832">
        <f>'Expenditures 15-22'!D10</f>
        <v>23634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8739</v>
      </c>
      <c r="D3058" s="2" t="str">
        <f t="shared" si="46"/>
        <v>Error?</v>
      </c>
    </row>
    <row r="3059" spans="1:4" x14ac:dyDescent="0.2">
      <c r="A3059" s="5">
        <v>2998</v>
      </c>
      <c r="B3059" s="1832">
        <f>'Expenditures 15-22'!G10</f>
        <v>3521</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124381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5304</v>
      </c>
      <c r="D3064" s="2" t="str">
        <f t="shared" si="46"/>
        <v>Error?</v>
      </c>
    </row>
    <row r="3065" spans="1:4" x14ac:dyDescent="0.2">
      <c r="A3065" s="5">
        <v>3004</v>
      </c>
      <c r="B3065" s="1832">
        <f>'Expenditures 15-22'!K219</f>
        <v>5304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108068</v>
      </c>
      <c r="C3225" s="2" t="s">
        <v>569</v>
      </c>
      <c r="D3225" s="2" t="str">
        <f t="shared" si="49"/>
        <v>Error?</v>
      </c>
    </row>
    <row r="3226" spans="1:4" x14ac:dyDescent="0.2">
      <c r="A3226" s="5">
        <v>3165</v>
      </c>
      <c r="B3226" s="1832">
        <f>'Acct Summary 7-8'!I8</f>
        <v>108068</v>
      </c>
      <c r="C3226" s="2" t="s">
        <v>569</v>
      </c>
      <c r="D3226" s="2" t="str">
        <f t="shared" si="49"/>
        <v>Error?</v>
      </c>
    </row>
    <row r="3227" spans="1:4" x14ac:dyDescent="0.2">
      <c r="A3227" s="5">
        <v>3166</v>
      </c>
      <c r="B3227" s="1832">
        <f>'Acct Summary 7-8'!I20</f>
        <v>108068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4110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4110</v>
      </c>
      <c r="C3232" s="2" t="s">
        <v>569</v>
      </c>
      <c r="D3232" s="2" t="str">
        <f t="shared" si="49"/>
        <v>Error?</v>
      </c>
    </row>
    <row r="3233" spans="1:4" x14ac:dyDescent="0.2">
      <c r="A3233" s="5">
        <v>3172</v>
      </c>
      <c r="B3233" s="1832">
        <f>'Acct Summary 7-8'!C78</f>
        <v>-56410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665</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665</v>
      </c>
      <c r="C3238" s="2" t="s">
        <v>569</v>
      </c>
      <c r="D3238" s="2" t="str">
        <f t="shared" si="49"/>
        <v>Error?</v>
      </c>
    </row>
    <row r="3239" spans="1:4" x14ac:dyDescent="0.2">
      <c r="A3239" s="5">
        <v>3178</v>
      </c>
      <c r="B3239" s="1832">
        <f>'Acct Summary 7-8'!D78</f>
        <v>-115981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53846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35249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4110</v>
      </c>
      <c r="C3276" s="2" t="s">
        <v>569</v>
      </c>
      <c r="D3276" s="2" t="str">
        <f t="shared" si="50"/>
        <v>Error?</v>
      </c>
    </row>
    <row r="3277" spans="1:4" x14ac:dyDescent="0.2">
      <c r="A3277" s="5">
        <v>3216</v>
      </c>
      <c r="B3277" s="1832">
        <f>'Acct Summary 7-8'!E77</f>
        <v>-4110</v>
      </c>
      <c r="C3277" s="2" t="s">
        <v>569</v>
      </c>
      <c r="D3277" s="2" t="str">
        <f t="shared" si="50"/>
        <v>Error?</v>
      </c>
    </row>
    <row r="3278" spans="1:4" x14ac:dyDescent="0.2">
      <c r="A3278" s="5">
        <v>3217</v>
      </c>
      <c r="B3278" s="1832">
        <f>'Acct Summary 7-8'!E78</f>
        <v>6423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-377045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108068</v>
      </c>
      <c r="C3320" s="2" t="s">
        <v>569</v>
      </c>
      <c r="D3320" s="2" t="str">
        <f t="shared" si="50"/>
        <v>Error?</v>
      </c>
    </row>
    <row r="3321" spans="1:4" x14ac:dyDescent="0.2">
      <c r="A3321" s="5">
        <v>3260</v>
      </c>
      <c r="B3321" s="1832">
        <f>'Acct Summary 7-8'!I79</f>
        <v>3065437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3173505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444707</v>
      </c>
      <c r="D3366" s="2" t="str">
        <f t="shared" si="51"/>
        <v>Error?</v>
      </c>
    </row>
    <row r="3367" spans="1:4" x14ac:dyDescent="0.2">
      <c r="A3367" s="5">
        <v>3306</v>
      </c>
      <c r="B3367" s="1832">
        <f>'Expenditures 15-22'!C19</f>
        <v>39452</v>
      </c>
      <c r="D3367" s="2" t="str">
        <f t="shared" si="51"/>
        <v>Error?</v>
      </c>
    </row>
    <row r="3368" spans="1:4" x14ac:dyDescent="0.2">
      <c r="A3368" s="5">
        <v>3307</v>
      </c>
      <c r="B3368" s="1832">
        <f>'Expenditures 15-22'!D8</f>
        <v>37564</v>
      </c>
      <c r="D3368" s="2" t="str">
        <f t="shared" si="51"/>
        <v>Error?</v>
      </c>
    </row>
    <row r="3369" spans="1:4" x14ac:dyDescent="0.2">
      <c r="A3369" s="5">
        <v>3308</v>
      </c>
      <c r="B3369" s="1832">
        <f>'Expenditures 15-22'!D19</f>
        <v>6201</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12620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23876</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1300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482271</v>
      </c>
      <c r="C3380" s="2" t="s">
        <v>569</v>
      </c>
      <c r="D3380" s="2" t="str">
        <f t="shared" si="51"/>
        <v>Error?</v>
      </c>
    </row>
    <row r="3381" spans="1:4" x14ac:dyDescent="0.2">
      <c r="A3381" s="5">
        <v>3320</v>
      </c>
      <c r="B3381" s="1832">
        <f>'Expenditures 15-22'!K19</f>
        <v>83449</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57715</v>
      </c>
      <c r="D3387" s="2" t="str">
        <f t="shared" si="51"/>
        <v>Error?</v>
      </c>
    </row>
    <row r="3388" spans="1:4" x14ac:dyDescent="0.2">
      <c r="A3388" s="5">
        <v>3327</v>
      </c>
      <c r="B3388" s="1832">
        <f>'Expenditures 15-22'!D217</f>
        <v>10386</v>
      </c>
      <c r="D3388" s="2" t="str">
        <f t="shared" si="51"/>
        <v>Error?</v>
      </c>
    </row>
    <row r="3389" spans="1:4" x14ac:dyDescent="0.2">
      <c r="A3389" s="5">
        <v>3328</v>
      </c>
      <c r="B3389" s="1832">
        <f>'Expenditures 15-22'!D228</f>
        <v>572</v>
      </c>
      <c r="D3389" s="2" t="str">
        <f t="shared" si="51"/>
        <v>Error?</v>
      </c>
    </row>
    <row r="3390" spans="1:4" x14ac:dyDescent="0.2">
      <c r="A3390" s="5">
        <v>3329</v>
      </c>
      <c r="B3390" s="1832">
        <f>'Expenditures 15-22'!K215</f>
        <v>57715</v>
      </c>
      <c r="C3390" s="2" t="s">
        <v>569</v>
      </c>
      <c r="D3390" s="2" t="str">
        <f t="shared" si="51"/>
        <v>Error?</v>
      </c>
    </row>
    <row r="3391" spans="1:4" x14ac:dyDescent="0.2">
      <c r="A3391" s="5">
        <v>3330</v>
      </c>
      <c r="B3391" s="1832">
        <f>'Expenditures 15-22'!K217</f>
        <v>10386</v>
      </c>
      <c r="C3391" s="2" t="s">
        <v>569</v>
      </c>
      <c r="D3391" s="2" t="str">
        <f t="shared" ref="D3391:D3454" si="52">IF(ISBLANK(B3391),"OK",IF(A3391-B3391=0,"OK","Error?"))</f>
        <v>Error?</v>
      </c>
    </row>
    <row r="3392" spans="1:4" x14ac:dyDescent="0.2">
      <c r="A3392" s="5">
        <v>3331</v>
      </c>
      <c r="B3392" s="1832">
        <f>'Expenditures 15-22'!K228</f>
        <v>572</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305553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118260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139575</v>
      </c>
      <c r="D3417" s="2" t="str">
        <f t="shared" si="52"/>
        <v>Error?</v>
      </c>
    </row>
    <row r="3418" spans="1:4" x14ac:dyDescent="0.2">
      <c r="A3418" s="10">
        <v>3357</v>
      </c>
      <c r="B3418" s="1832"/>
      <c r="D3418" s="2" t="str">
        <f t="shared" si="52"/>
        <v>OK</v>
      </c>
    </row>
    <row r="3419" spans="1:4" x14ac:dyDescent="0.2">
      <c r="A3419" s="5">
        <v>3358</v>
      </c>
      <c r="B3419" s="1832">
        <f>'Assets-Liab 5-6'!F4</f>
        <v>219417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28028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76385</v>
      </c>
      <c r="D3425" s="2" t="str">
        <f t="shared" si="52"/>
        <v>Error?</v>
      </c>
    </row>
    <row r="3426" spans="1:4" x14ac:dyDescent="0.2">
      <c r="A3426" s="10">
        <v>3365</v>
      </c>
      <c r="B3426" s="1832"/>
      <c r="D3426" s="2" t="str">
        <f t="shared" si="52"/>
        <v>OK</v>
      </c>
    </row>
    <row r="3427" spans="1:4" x14ac:dyDescent="0.2">
      <c r="A3427" s="5">
        <v>3366</v>
      </c>
      <c r="B3427" s="1832">
        <f>'Assets-Liab 5-6'!I4</f>
        <v>5178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241018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174728</v>
      </c>
      <c r="C3446" s="2" t="s">
        <v>569</v>
      </c>
      <c r="D3446" s="2" t="str">
        <f t="shared" si="52"/>
        <v>Error?</v>
      </c>
    </row>
    <row r="3447" spans="1:4" x14ac:dyDescent="0.2">
      <c r="A3447" s="5">
        <v>3386</v>
      </c>
      <c r="B3447" s="1832">
        <f>'Tax Sched 23'!D16</f>
        <v>174728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175001</v>
      </c>
      <c r="C3449" s="2" t="s">
        <v>569</v>
      </c>
      <c r="D3449" s="2" t="str">
        <f t="shared" si="52"/>
        <v>Error?</v>
      </c>
    </row>
    <row r="3450" spans="1:4" x14ac:dyDescent="0.2">
      <c r="A3450" s="5">
        <v>3389</v>
      </c>
      <c r="B3450" s="1832">
        <f>'Tax Sched 23'!E16</f>
        <v>175001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665</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927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115840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116767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116767</v>
      </c>
      <c r="D3567" s="2" t="str">
        <f t="shared" si="54"/>
        <v>Error?</v>
      </c>
    </row>
    <row r="3568" spans="1:4" x14ac:dyDescent="0.2">
      <c r="A3568" s="5">
        <v>3507</v>
      </c>
      <c r="B3568" s="1832">
        <f>'Assets-Liab 5-6'!K41</f>
        <v>116767</v>
      </c>
      <c r="C3568" s="2" t="s">
        <v>569</v>
      </c>
      <c r="D3568" s="2" t="str">
        <f t="shared" si="54"/>
        <v>Error?</v>
      </c>
    </row>
    <row r="3569" spans="1:4" x14ac:dyDescent="0.2">
      <c r="A3569" s="5">
        <v>3508</v>
      </c>
      <c r="B3569" s="1832">
        <f>'Acct Summary 7-8'!K4</f>
        <v>67450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67450</v>
      </c>
      <c r="C3571" s="2" t="s">
        <v>569</v>
      </c>
      <c r="D3571" s="2" t="str">
        <f t="shared" si="54"/>
        <v>Error?</v>
      </c>
    </row>
    <row r="3572" spans="1:4" x14ac:dyDescent="0.2">
      <c r="A3572" s="5">
        <v>3511</v>
      </c>
      <c r="B3572" s="1832">
        <f>'Acct Summary 7-8'!K13</f>
        <v>26257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26257</v>
      </c>
      <c r="C3575" s="2" t="s">
        <v>569</v>
      </c>
      <c r="D3575" s="2" t="str">
        <f t="shared" si="54"/>
        <v>Error?</v>
      </c>
    </row>
    <row r="3576" spans="1:4" x14ac:dyDescent="0.2">
      <c r="A3576" s="5">
        <v>3515</v>
      </c>
      <c r="B3576" s="1832">
        <f>'Acct Summary 7-8'!K20</f>
        <v>41193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41193</v>
      </c>
      <c r="C3588" s="2" t="s">
        <v>569</v>
      </c>
      <c r="D3588" s="2" t="str">
        <f t="shared" si="55"/>
        <v>Error?</v>
      </c>
    </row>
    <row r="3589" spans="1:4" x14ac:dyDescent="0.2">
      <c r="A3589" s="5">
        <v>3528</v>
      </c>
      <c r="B3589" s="1832">
        <f>'Acct Summary 7-8'!K79</f>
        <v>75574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116767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6594</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6594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6594</v>
      </c>
      <c r="C3635" s="2" t="s">
        <v>569</v>
      </c>
      <c r="D3635" s="2" t="str">
        <f t="shared" si="55"/>
        <v>Error?</v>
      </c>
    </row>
    <row r="3636" spans="1:4" x14ac:dyDescent="0.2">
      <c r="A3636" s="5">
        <v>3575</v>
      </c>
      <c r="B3636" s="1832">
        <f>'Expenditures 15-22'!E367</f>
        <v>6594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1651</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1651</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1651</v>
      </c>
      <c r="C3642" s="2" t="s">
        <v>569</v>
      </c>
      <c r="D3642" s="2" t="str">
        <f t="shared" si="55"/>
        <v>Error?</v>
      </c>
    </row>
    <row r="3643" spans="1:4" x14ac:dyDescent="0.2">
      <c r="A3643" s="5">
        <v>3582</v>
      </c>
      <c r="B3643" s="1832">
        <f>'Expenditures 15-22'!F367</f>
        <v>1651</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18012</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18012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18012</v>
      </c>
      <c r="C3649" s="2" t="s">
        <v>569</v>
      </c>
      <c r="D3649" s="2" t="str">
        <f t="shared" si="56"/>
        <v>Error?</v>
      </c>
    </row>
    <row r="3650" spans="1:4" x14ac:dyDescent="0.2">
      <c r="A3650" s="5">
        <v>3589</v>
      </c>
      <c r="B3650" s="1832">
        <f>'Expenditures 15-22'!G367</f>
        <v>18012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26257</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26257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26257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26257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41193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27682</v>
      </c>
      <c r="D3721" s="2" t="str">
        <f t="shared" si="57"/>
        <v>Error?</v>
      </c>
    </row>
    <row r="3722" spans="1:4" x14ac:dyDescent="0.2">
      <c r="A3722" s="5">
        <v>3661</v>
      </c>
      <c r="B3722" s="1832">
        <f>'Expenditures 15-22'!D285</f>
        <v>27682</v>
      </c>
      <c r="C3722" s="2" t="s">
        <v>569</v>
      </c>
      <c r="D3722" s="2" t="str">
        <f t="shared" si="57"/>
        <v>Error?</v>
      </c>
    </row>
    <row r="3723" spans="1:4" x14ac:dyDescent="0.2">
      <c r="A3723" s="5">
        <v>3662</v>
      </c>
      <c r="B3723" s="1832">
        <f>'Expenditures 15-22'!K283</f>
        <v>27682</v>
      </c>
      <c r="C3723" s="2" t="s">
        <v>569</v>
      </c>
      <c r="D3723" s="2" t="str">
        <f t="shared" si="57"/>
        <v>Error?</v>
      </c>
    </row>
    <row r="3724" spans="1:4" x14ac:dyDescent="0.2">
      <c r="A3724" s="5">
        <v>3663</v>
      </c>
      <c r="B3724" s="1832">
        <f>'Expenditures 15-22'!K285</f>
        <v>27682</v>
      </c>
      <c r="C3724" s="2" t="s">
        <v>569</v>
      </c>
      <c r="D3724" s="2" t="str">
        <f t="shared" si="57"/>
        <v>Error?</v>
      </c>
    </row>
    <row r="3725" spans="1:4" x14ac:dyDescent="0.2">
      <c r="A3725" s="5">
        <v>3664</v>
      </c>
      <c r="B3725" s="1832">
        <f>'Tax Sched 23'!B13</f>
        <v>66532</v>
      </c>
      <c r="C3725" s="2" t="s">
        <v>569</v>
      </c>
      <c r="D3725" s="2" t="str">
        <f t="shared" si="57"/>
        <v>Error?</v>
      </c>
    </row>
    <row r="3726" spans="1:4" x14ac:dyDescent="0.2">
      <c r="A3726" s="5">
        <v>3665</v>
      </c>
      <c r="B3726" s="1832">
        <f>'Tax Sched 23'!D13</f>
        <v>66532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67589</v>
      </c>
      <c r="C3728" s="2" t="s">
        <v>569</v>
      </c>
      <c r="D3728" s="2" t="str">
        <f t="shared" si="57"/>
        <v>Error?</v>
      </c>
    </row>
    <row r="3729" spans="1:4" x14ac:dyDescent="0.2">
      <c r="A3729" s="5">
        <v>3668</v>
      </c>
      <c r="B3729" s="1832">
        <f>'Tax Sched 23'!E13</f>
        <v>67589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3629774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10387148</v>
      </c>
      <c r="C4122" s="2" t="s">
        <v>569</v>
      </c>
      <c r="D4122" s="2" t="str">
        <f t="shared" si="63"/>
        <v>Error?</v>
      </c>
    </row>
    <row r="4123" spans="1:4" x14ac:dyDescent="0.2">
      <c r="A4123" s="5">
        <v>4062</v>
      </c>
      <c r="B4123" s="1832">
        <f>'Acct Summary 7-8'!D10</f>
        <v>966077</v>
      </c>
      <c r="C4123" s="2" t="s">
        <v>569</v>
      </c>
      <c r="D4123" s="2" t="str">
        <f t="shared" si="63"/>
        <v>Error?</v>
      </c>
    </row>
    <row r="4124" spans="1:4" x14ac:dyDescent="0.2">
      <c r="A4124" s="5">
        <v>4063</v>
      </c>
      <c r="B4124" s="1832">
        <f>'Acct Summary 7-8'!E10</f>
        <v>1319598</v>
      </c>
      <c r="C4124" s="2" t="s">
        <v>569</v>
      </c>
      <c r="D4124" s="2" t="str">
        <f t="shared" si="63"/>
        <v>Error?</v>
      </c>
    </row>
    <row r="4125" spans="1:4" x14ac:dyDescent="0.2">
      <c r="A4125" s="5">
        <v>4064</v>
      </c>
      <c r="B4125" s="1832">
        <f>'Acct Summary 7-8'!F10</f>
        <v>712281</v>
      </c>
      <c r="C4125" s="2" t="s">
        <v>569</v>
      </c>
      <c r="D4125" s="2" t="str">
        <f t="shared" si="63"/>
        <v>Error?</v>
      </c>
    </row>
    <row r="4126" spans="1:4" x14ac:dyDescent="0.2">
      <c r="A4126" s="5">
        <v>4065</v>
      </c>
      <c r="B4126" s="1832">
        <f>'Acct Summary 7-8'!G10</f>
        <v>291959</v>
      </c>
      <c r="C4126" s="2" t="s">
        <v>569</v>
      </c>
      <c r="D4126" s="2" t="str">
        <f t="shared" si="63"/>
        <v>Error?</v>
      </c>
    </row>
    <row r="4127" spans="1:4" x14ac:dyDescent="0.2">
      <c r="A4127" s="5">
        <v>4066</v>
      </c>
      <c r="B4127" s="1832">
        <f>'Acct Summary 7-8'!H10</f>
        <v>77715</v>
      </c>
      <c r="C4127" s="2" t="s">
        <v>569</v>
      </c>
      <c r="D4127" s="2" t="str">
        <f t="shared" si="63"/>
        <v>Error?</v>
      </c>
    </row>
    <row r="4128" spans="1:4" x14ac:dyDescent="0.2">
      <c r="A4128" s="5">
        <v>4067</v>
      </c>
      <c r="B4128" s="1832">
        <f>'Acct Summary 7-8'!I10</f>
        <v>108068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67450</v>
      </c>
      <c r="C4130" s="2" t="s">
        <v>569</v>
      </c>
      <c r="D4130" s="2" t="str">
        <f t="shared" si="63"/>
        <v>Error?</v>
      </c>
    </row>
    <row r="4131" spans="1:4" x14ac:dyDescent="0.2">
      <c r="A4131" s="5">
        <v>4070</v>
      </c>
      <c r="B4131" s="1832">
        <f>'Acct Summary 7-8'!C18</f>
        <v>3629774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10447668</v>
      </c>
      <c r="C4136" s="2" t="s">
        <v>569</v>
      </c>
      <c r="D4136" s="2" t="str">
        <f t="shared" si="63"/>
        <v>Error?</v>
      </c>
    </row>
    <row r="4137" spans="1:4" x14ac:dyDescent="0.2">
      <c r="A4137" s="5">
        <v>4076</v>
      </c>
      <c r="B4137" s="1832">
        <f>'Acct Summary 7-8'!D19</f>
        <v>1082723</v>
      </c>
      <c r="C4137" s="2" t="s">
        <v>569</v>
      </c>
      <c r="D4137" s="2" t="str">
        <f t="shared" si="63"/>
        <v>Error?</v>
      </c>
    </row>
    <row r="4138" spans="1:4" x14ac:dyDescent="0.2">
      <c r="A4138" s="5">
        <v>4077</v>
      </c>
      <c r="B4138" s="1832">
        <f>'Acct Summary 7-8'!E19</f>
        <v>1309065</v>
      </c>
      <c r="C4138" s="2" t="s">
        <v>569</v>
      </c>
      <c r="D4138" s="2" t="str">
        <f t="shared" si="63"/>
        <v>Error?</v>
      </c>
    </row>
    <row r="4139" spans="1:4" x14ac:dyDescent="0.2">
      <c r="A4139" s="5">
        <v>4078</v>
      </c>
      <c r="B4139" s="1832">
        <f>'Acct Summary 7-8'!F19</f>
        <v>658435</v>
      </c>
      <c r="C4139" s="2" t="s">
        <v>569</v>
      </c>
      <c r="D4139" s="2" t="str">
        <f t="shared" si="63"/>
        <v>Error?</v>
      </c>
    </row>
    <row r="4140" spans="1:4" x14ac:dyDescent="0.2">
      <c r="A4140" s="5">
        <v>4079</v>
      </c>
      <c r="B4140" s="1832">
        <f>'Acct Summary 7-8'!G19</f>
        <v>256710</v>
      </c>
      <c r="C4140" s="2" t="s">
        <v>569</v>
      </c>
      <c r="D4140" s="2" t="str">
        <f t="shared" si="63"/>
        <v>Error?</v>
      </c>
    </row>
    <row r="4141" spans="1:4" x14ac:dyDescent="0.2">
      <c r="A4141" s="5">
        <v>4080</v>
      </c>
      <c r="B4141" s="1832">
        <f>'Acct Summary 7-8'!H19</f>
        <v>454760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26257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10105000</v>
      </c>
      <c r="C4171" s="2" t="s">
        <v>569</v>
      </c>
      <c r="D4171" s="2" t="str">
        <f t="shared" si="64"/>
        <v>Error?</v>
      </c>
    </row>
    <row r="4172" spans="1:4" x14ac:dyDescent="0.2">
      <c r="A4172" s="5">
        <v>4111</v>
      </c>
      <c r="B4172" s="1832">
        <f>'Short-Term Long-Term Debt 24'!J49</f>
        <v>9484561</v>
      </c>
      <c r="C4172" s="2" t="s">
        <v>569</v>
      </c>
      <c r="D4172" s="2" t="str">
        <f t="shared" si="64"/>
        <v>Error?</v>
      </c>
    </row>
    <row r="4173" spans="1:4" x14ac:dyDescent="0.2">
      <c r="A4173" s="5">
        <v>4112</v>
      </c>
      <c r="B4173" s="1832">
        <f>'Short-Term Long-Term Debt 24'!H49</f>
        <v>935000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2460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3160.0000000000005</v>
      </c>
      <c r="C4268" s="2" t="s">
        <v>569</v>
      </c>
      <c r="D4268" s="2" t="str">
        <f t="shared" si="65"/>
        <v>Error?</v>
      </c>
    </row>
    <row r="4269" spans="1:5" x14ac:dyDescent="0.2">
      <c r="A4269" s="12">
        <v>4208</v>
      </c>
      <c r="B4269" s="1832">
        <f>'FP Info 3'!J16</f>
        <v>5652928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3108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39434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135177613</v>
      </c>
      <c r="D4995" s="2" t="str">
        <f t="shared" si="77"/>
        <v>Error?</v>
      </c>
    </row>
    <row r="4996" spans="1:4" x14ac:dyDescent="0.2">
      <c r="A4996" s="12">
        <v>4935</v>
      </c>
      <c r="B4996" s="1832">
        <f>'FP Info 3'!H31</f>
        <v>18654510.594000001</v>
      </c>
      <c r="D4996" s="2" t="str">
        <f t="shared" si="77"/>
        <v>Error?</v>
      </c>
    </row>
    <row r="4997" spans="1:4" x14ac:dyDescent="0.2">
      <c r="A4997" s="12">
        <v>4936</v>
      </c>
      <c r="B4997" s="1832">
        <f>'FP Info 3'!H37</f>
        <v>10105000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66532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3273404</v>
      </c>
      <c r="D5061" s="2" t="str">
        <f t="shared" si="78"/>
        <v>Error?</v>
      </c>
    </row>
    <row r="5062" spans="1:4" x14ac:dyDescent="0.2">
      <c r="A5062" s="10">
        <v>5001</v>
      </c>
      <c r="B5062" s="1832"/>
      <c r="D5062" s="2" t="str">
        <f t="shared" si="78"/>
        <v>OK</v>
      </c>
    </row>
    <row r="5063" spans="1:4" x14ac:dyDescent="0.2">
      <c r="A5063" s="5">
        <v>5002</v>
      </c>
      <c r="B5063" s="1832">
        <f>'Revenues 9-14'!C7</f>
        <v>53226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3393162</v>
      </c>
      <c r="C5066" s="2" t="s">
        <v>569</v>
      </c>
      <c r="D5066" s="2" t="str">
        <f t="shared" si="78"/>
        <v>Error?</v>
      </c>
    </row>
    <row r="5067" spans="1:4" x14ac:dyDescent="0.2">
      <c r="A5067" s="5">
        <v>5006</v>
      </c>
      <c r="B5067" s="1832">
        <f>'Revenues 9-14'!C14</f>
        <v>4247</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4247</v>
      </c>
      <c r="C5071" s="2" t="s">
        <v>569</v>
      </c>
      <c r="D5071" s="2" t="str">
        <f t="shared" si="78"/>
        <v>Error?</v>
      </c>
    </row>
    <row r="5072" spans="1:4" x14ac:dyDescent="0.2">
      <c r="A5072" s="5">
        <v>5011</v>
      </c>
      <c r="B5072" s="1832">
        <f>'Revenues 9-14'!C20</f>
        <v>6600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6600</v>
      </c>
      <c r="C5087" s="2" t="s">
        <v>569</v>
      </c>
      <c r="D5087" s="2" t="str">
        <f t="shared" si="78"/>
        <v>Error?</v>
      </c>
    </row>
    <row r="5088" spans="1:4" x14ac:dyDescent="0.2">
      <c r="A5088" s="5">
        <v>5027</v>
      </c>
      <c r="B5088" s="1832">
        <f>'Revenues 9-14'!C65</f>
        <v>18084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18084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1512</v>
      </c>
      <c r="D5095" s="2" t="str">
        <f t="shared" si="78"/>
        <v>Error?</v>
      </c>
    </row>
    <row r="5096" spans="1:4" x14ac:dyDescent="0.2">
      <c r="A5096" s="5">
        <v>5035</v>
      </c>
      <c r="B5096" s="1832">
        <f>'Revenues 9-14'!C75</f>
        <v>73778</v>
      </c>
      <c r="C5096" s="2" t="s">
        <v>569</v>
      </c>
      <c r="D5096" s="2" t="str">
        <f t="shared" si="78"/>
        <v>Error?</v>
      </c>
    </row>
    <row r="5097" spans="1:4" x14ac:dyDescent="0.2">
      <c r="A5097" s="5">
        <v>5036</v>
      </c>
      <c r="B5097" s="1832">
        <f>'Revenues 9-14'!C77</f>
        <v>27640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72889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1314</v>
      </c>
      <c r="D5101" s="2" t="str">
        <f t="shared" si="78"/>
        <v>Error?</v>
      </c>
    </row>
    <row r="5102" spans="1:4" x14ac:dyDescent="0.2">
      <c r="A5102" s="5">
        <v>5041</v>
      </c>
      <c r="B5102" s="1832">
        <f>'Revenues 9-14'!C82</f>
        <v>101843</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6720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14497</v>
      </c>
      <c r="D5119" s="2" t="str">
        <f t="shared" ref="D5119:D5182" si="79">IF(ISBLANK(B5119),"OK",IF(A5119-B5119=0,"OK","Error?"))</f>
        <v>Error?</v>
      </c>
    </row>
    <row r="5120" spans="1:4" x14ac:dyDescent="0.2">
      <c r="A5120" s="5">
        <v>5059</v>
      </c>
      <c r="B5120" s="1832">
        <f>'Revenues 9-14'!C108</f>
        <v>29115</v>
      </c>
      <c r="C5120" s="2" t="s">
        <v>569</v>
      </c>
      <c r="D5120" s="2" t="str">
        <f t="shared" si="79"/>
        <v>Error?</v>
      </c>
    </row>
    <row r="5121" spans="1:4" x14ac:dyDescent="0.2">
      <c r="A5121" s="5">
        <v>5060</v>
      </c>
      <c r="B5121" s="1832">
        <f>'Revenues 9-14'!C109</f>
        <v>3626829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2293720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2293720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16436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16436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18329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2745</v>
      </c>
      <c r="D5167" s="2" t="str">
        <f t="shared" si="79"/>
        <v>Error?</v>
      </c>
    </row>
    <row r="5168" spans="1:4" x14ac:dyDescent="0.2">
      <c r="A5168" s="5">
        <v>5107</v>
      </c>
      <c r="B5168" s="1832">
        <f>'Revenues 9-14'!C148</f>
        <v>9530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218027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265067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2558787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137108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43560</v>
      </c>
      <c r="D5241" s="2" t="str">
        <f t="shared" si="80"/>
        <v>Error?</v>
      </c>
    </row>
    <row r="5242" spans="1:4" x14ac:dyDescent="0.2">
      <c r="A5242" s="5">
        <v>5181</v>
      </c>
      <c r="B5242" s="1832">
        <f>'Revenues 9-14'!C194</f>
        <v>62533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243201</v>
      </c>
      <c r="C5246" s="2" t="s">
        <v>569</v>
      </c>
      <c r="D5246" s="2" t="str">
        <f t="shared" si="80"/>
        <v>Error?</v>
      </c>
    </row>
    <row r="5247" spans="1:4" x14ac:dyDescent="0.2">
      <c r="A5247" s="5">
        <v>5186</v>
      </c>
      <c r="B5247" s="1832">
        <f>'Revenues 9-14'!C200</f>
        <v>113798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128798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9294</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147923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157217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571758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571758</v>
      </c>
      <c r="C5326" s="2" t="s">
        <v>569</v>
      </c>
      <c r="D5326" s="2" t="str">
        <f t="shared" si="82"/>
        <v>Error?</v>
      </c>
    </row>
    <row r="5327" spans="1:5" x14ac:dyDescent="0.2">
      <c r="A5327" s="5">
        <v>5266</v>
      </c>
      <c r="B5327" s="1832">
        <f>'Revenues 9-14'!C268</f>
        <v>6757374</v>
      </c>
      <c r="C5327" s="2" t="s">
        <v>569</v>
      </c>
      <c r="D5327" s="2" t="str">
        <f t="shared" si="82"/>
        <v>Error?</v>
      </c>
    </row>
    <row r="5328" spans="1:5" x14ac:dyDescent="0.2">
      <c r="A5328" s="5">
        <v>5267</v>
      </c>
      <c r="B5328" s="1832">
        <f>'Revenues 9-14'!D5</f>
        <v>665325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665325</v>
      </c>
      <c r="C5334" s="2" t="s">
        <v>569</v>
      </c>
      <c r="D5334" s="2" t="str">
        <f t="shared" si="82"/>
        <v>Error?</v>
      </c>
    </row>
    <row r="5335" spans="1:4" x14ac:dyDescent="0.2">
      <c r="A5335" s="5">
        <v>5274</v>
      </c>
      <c r="B5335" s="1832">
        <f>'Revenues 9-14'!D14</f>
        <v>833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138475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139308</v>
      </c>
      <c r="C5339" s="2" t="s">
        <v>569</v>
      </c>
      <c r="D5339" s="2" t="str">
        <f t="shared" si="82"/>
        <v>Error?</v>
      </c>
    </row>
    <row r="5340" spans="1:4" x14ac:dyDescent="0.2">
      <c r="A5340" s="5">
        <v>5279</v>
      </c>
      <c r="B5340" s="1832">
        <f>'Revenues 9-14'!D65</f>
        <v>8954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8954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102490</v>
      </c>
      <c r="D5354" s="2" t="str">
        <f t="shared" si="82"/>
        <v>Error?</v>
      </c>
    </row>
    <row r="5355" spans="1:4" x14ac:dyDescent="0.2">
      <c r="A5355" s="5">
        <v>5294</v>
      </c>
      <c r="B5355" s="1832">
        <f>'Revenues 9-14'!D108</f>
        <v>102490</v>
      </c>
      <c r="C5355" s="2" t="s">
        <v>569</v>
      </c>
      <c r="D5355" s="2" t="str">
        <f t="shared" si="82"/>
        <v>Error?</v>
      </c>
    </row>
    <row r="5356" spans="1:4" x14ac:dyDescent="0.2">
      <c r="A5356" s="5">
        <v>5295</v>
      </c>
      <c r="B5356" s="1832">
        <f>'Revenues 9-14'!D109</f>
        <v>916077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966077</v>
      </c>
      <c r="C5508" s="2" t="s">
        <v>569</v>
      </c>
      <c r="D5508" s="2" t="str">
        <f t="shared" si="85"/>
        <v>Error?</v>
      </c>
    </row>
    <row r="5509" spans="1:4" x14ac:dyDescent="0.2">
      <c r="A5509" s="5">
        <v>5448</v>
      </c>
      <c r="B5509" s="1832">
        <f>'Revenues 9-14'!E5</f>
        <v>789188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789188</v>
      </c>
      <c r="C5513" s="2" t="s">
        <v>569</v>
      </c>
      <c r="D5513" s="2" t="str">
        <f t="shared" si="85"/>
        <v>Error?</v>
      </c>
    </row>
    <row r="5514" spans="1:4" x14ac:dyDescent="0.2">
      <c r="A5514" s="5">
        <v>5453</v>
      </c>
      <c r="B5514" s="1832">
        <f>'Revenues 9-14'!E14</f>
        <v>988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988</v>
      </c>
      <c r="C5518" s="2" t="s">
        <v>569</v>
      </c>
      <c r="D5518" s="2" t="str">
        <f t="shared" si="85"/>
        <v>Error?</v>
      </c>
    </row>
    <row r="5519" spans="1:4" x14ac:dyDescent="0.2">
      <c r="A5519" s="5">
        <v>5458</v>
      </c>
      <c r="B5519" s="1832">
        <f>'Revenues 9-14'!E65</f>
        <v>4422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4422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525000</v>
      </c>
      <c r="C5526" s="2" t="s">
        <v>569</v>
      </c>
      <c r="D5526" s="2" t="str">
        <f t="shared" si="85"/>
        <v>Error?</v>
      </c>
    </row>
    <row r="5527" spans="1:4" x14ac:dyDescent="0.2">
      <c r="A5527" s="5">
        <v>5466</v>
      </c>
      <c r="B5527" s="1832">
        <f>'Revenues 9-14'!E109</f>
        <v>1319598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1319598</v>
      </c>
      <c r="C5552" s="2" t="s">
        <v>569</v>
      </c>
      <c r="D5552" s="2" t="str">
        <f t="shared" si="85"/>
        <v>Error?</v>
      </c>
    </row>
    <row r="5553" spans="1:4" x14ac:dyDescent="0.2">
      <c r="A5553" s="5">
        <v>5492</v>
      </c>
      <c r="B5553" s="1832">
        <f>'Revenues 9-14'!F5</f>
        <v>266130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266130</v>
      </c>
      <c r="C5557" s="2" t="s">
        <v>569</v>
      </c>
      <c r="D5557" s="2" t="str">
        <f t="shared" si="85"/>
        <v>Error?</v>
      </c>
    </row>
    <row r="5558" spans="1:4" x14ac:dyDescent="0.2">
      <c r="A5558" s="5">
        <v>5497</v>
      </c>
      <c r="B5558" s="1832">
        <f>'Revenues 9-14'!F14</f>
        <v>333</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333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2085</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2085</v>
      </c>
      <c r="C5579" s="2" t="s">
        <v>569</v>
      </c>
      <c r="D5579" s="2" t="str">
        <f t="shared" si="86"/>
        <v>Error?</v>
      </c>
    </row>
    <row r="5580" spans="1:4" x14ac:dyDescent="0.2">
      <c r="A5580" s="5">
        <v>5519</v>
      </c>
      <c r="B5580" s="1832">
        <f>'Revenues 9-14'!F65</f>
        <v>3720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3720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272268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343208</v>
      </c>
      <c r="D5615" s="2" t="str">
        <f t="shared" si="86"/>
        <v>Error?</v>
      </c>
    </row>
    <row r="5616" spans="1:4" x14ac:dyDescent="0.2">
      <c r="A5616" s="10">
        <v>5555</v>
      </c>
      <c r="B5616" s="1832"/>
      <c r="D5616" s="2" t="str">
        <f t="shared" si="86"/>
        <v>OK</v>
      </c>
    </row>
    <row r="5617" spans="1:5" x14ac:dyDescent="0.2">
      <c r="A5617" s="5">
        <v>5556</v>
      </c>
      <c r="B5617" s="1832">
        <f>'Revenues 9-14'!F153</f>
        <v>96805</v>
      </c>
      <c r="D5617" s="2" t="str">
        <f t="shared" si="86"/>
        <v>Error?</v>
      </c>
    </row>
    <row r="5618" spans="1:5" x14ac:dyDescent="0.2">
      <c r="A5618" s="5">
        <v>5557</v>
      </c>
      <c r="B5618" s="1832">
        <f>'Revenues 9-14'!F155</f>
        <v>440013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440013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440013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712281</v>
      </c>
      <c r="C5720" s="2" t="s">
        <v>569</v>
      </c>
      <c r="D5720" s="2" t="str">
        <f t="shared" si="88"/>
        <v>Error?</v>
      </c>
    </row>
    <row r="5721" spans="1:4" x14ac:dyDescent="0.2">
      <c r="A5721" s="5">
        <v>5660</v>
      </c>
      <c r="B5721" s="1832">
        <f>'Revenues 9-14'!G5</f>
        <v>99852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174728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274580</v>
      </c>
      <c r="C5725" s="2" t="s">
        <v>569</v>
      </c>
      <c r="D5725" s="2" t="str">
        <f t="shared" si="88"/>
        <v>Error?</v>
      </c>
    </row>
    <row r="5726" spans="1:4" x14ac:dyDescent="0.2">
      <c r="A5726" s="5">
        <v>5665</v>
      </c>
      <c r="B5726" s="1832">
        <f>'Revenues 9-14'!G14</f>
        <v>345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14036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14381</v>
      </c>
      <c r="C5730" s="2" t="s">
        <v>569</v>
      </c>
      <c r="D5730" s="2" t="str">
        <f t="shared" si="88"/>
        <v>Error?</v>
      </c>
    </row>
    <row r="5731" spans="1:4" x14ac:dyDescent="0.2">
      <c r="A5731" s="5">
        <v>5670</v>
      </c>
      <c r="B5731" s="1832">
        <f>'Revenues 9-14'!G65</f>
        <v>2998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2998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291959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1695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1695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76020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77715</v>
      </c>
      <c r="C5915" s="2" t="s">
        <v>569</v>
      </c>
      <c r="D5915" s="2" t="str">
        <f t="shared" si="91"/>
        <v>Error?</v>
      </c>
    </row>
    <row r="5916" spans="1:4" x14ac:dyDescent="0.2">
      <c r="A5916" s="5">
        <v>5855</v>
      </c>
      <c r="B5916" s="1832">
        <f>'Revenues 9-14'!I5</f>
        <v>66532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66532</v>
      </c>
      <c r="C5918" s="2" t="s">
        <v>569</v>
      </c>
      <c r="D5918" s="2" t="str">
        <f t="shared" si="91"/>
        <v>Error?</v>
      </c>
    </row>
    <row r="5919" spans="1:4" x14ac:dyDescent="0.2">
      <c r="A5919" s="5">
        <v>5858</v>
      </c>
      <c r="B5919" s="1832">
        <f>'Revenues 9-14'!I14</f>
        <v>83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83</v>
      </c>
      <c r="C5923" s="2" t="s">
        <v>569</v>
      </c>
      <c r="D5923" s="2" t="str">
        <f t="shared" si="91"/>
        <v>Error?</v>
      </c>
    </row>
    <row r="5924" spans="1:4" x14ac:dyDescent="0.2">
      <c r="A5924" s="5">
        <v>5863</v>
      </c>
      <c r="B5924" s="1832">
        <f>'Revenues 9-14'!I65</f>
        <v>41453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41453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108068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66532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66532</v>
      </c>
      <c r="C5987" s="2" t="s">
        <v>569</v>
      </c>
      <c r="D5987" s="2" t="str">
        <f t="shared" si="92"/>
        <v>Error?</v>
      </c>
    </row>
    <row r="5988" spans="1:4" x14ac:dyDescent="0.2">
      <c r="A5988" s="5">
        <v>5927</v>
      </c>
      <c r="B5988" s="1832">
        <f>'Revenues 9-14'!K14</f>
        <v>83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83</v>
      </c>
      <c r="C5992" s="2" t="s">
        <v>569</v>
      </c>
      <c r="D5992" s="2" t="str">
        <f t="shared" si="92"/>
        <v>Error?</v>
      </c>
    </row>
    <row r="5993" spans="1:4" x14ac:dyDescent="0.2">
      <c r="A5993" s="5">
        <v>5932</v>
      </c>
      <c r="B5993" s="1832">
        <f>'Revenues 9-14'!K65</f>
        <v>835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835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67450</v>
      </c>
      <c r="C6023" s="2" t="s">
        <v>569</v>
      </c>
      <c r="D6023" s="2" t="str">
        <f t="shared" si="93"/>
        <v>Error?</v>
      </c>
    </row>
    <row r="6024" spans="1:5" x14ac:dyDescent="0.2">
      <c r="A6024" s="5">
        <v>5963</v>
      </c>
      <c r="B6024" s="1832">
        <f>'Revenues 9-14'!G109</f>
        <v>291959</v>
      </c>
      <c r="C6024" s="2" t="s">
        <v>569</v>
      </c>
      <c r="D6024" s="2" t="str">
        <f t="shared" si="93"/>
        <v>Error?</v>
      </c>
    </row>
    <row r="6025" spans="1:5" x14ac:dyDescent="0.2">
      <c r="A6025" s="5">
        <v>5964</v>
      </c>
      <c r="B6025" s="1832">
        <f>'Revenues 9-14'!H109</f>
        <v>77715</v>
      </c>
      <c r="C6025" s="2" t="s">
        <v>569</v>
      </c>
      <c r="D6025" s="2" t="str">
        <f t="shared" si="93"/>
        <v>Error?</v>
      </c>
    </row>
    <row r="6026" spans="1:5" x14ac:dyDescent="0.2">
      <c r="A6026" s="5">
        <v>5965</v>
      </c>
      <c r="B6026" s="1832">
        <f>'Revenues 9-14'!I109</f>
        <v>108068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67450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72266</v>
      </c>
      <c r="D6031" s="2" t="str">
        <f t="shared" si="93"/>
        <v>Error?</v>
      </c>
    </row>
    <row r="6032" spans="1:5" x14ac:dyDescent="0.2">
      <c r="A6032" s="5">
        <v>5971</v>
      </c>
      <c r="B6032" s="1832">
        <f>'Acct Summary 7-8'!G15</f>
        <v>27682</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41623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832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23893</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243090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23893</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23893</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219197</v>
      </c>
      <c r="D6215" s="2" t="str">
        <f t="shared" si="96"/>
        <v>Error?</v>
      </c>
      <c r="E6215" s="2" t="s">
        <v>189</v>
      </c>
    </row>
    <row r="6216" spans="1:5" x14ac:dyDescent="0.2">
      <c r="A6216">
        <v>6155</v>
      </c>
      <c r="B6216" s="1832">
        <f>'Assets-Liab 5-6'!J41</f>
        <v>243090</v>
      </c>
      <c r="D6216" s="2" t="str">
        <f t="shared" si="96"/>
        <v>Error?</v>
      </c>
      <c r="E6216" s="2" t="s">
        <v>189</v>
      </c>
    </row>
    <row r="6217" spans="1:5" x14ac:dyDescent="0.2">
      <c r="A6217">
        <v>6156</v>
      </c>
      <c r="B6217" s="1832">
        <f>'Assets-Liab 5-6'!J4</f>
        <v>366</v>
      </c>
      <c r="D6217" s="2" t="str">
        <f t="shared" si="96"/>
        <v>Error?</v>
      </c>
      <c r="E6217" s="2" t="s">
        <v>189</v>
      </c>
    </row>
    <row r="6218" spans="1:5" x14ac:dyDescent="0.2">
      <c r="A6218">
        <v>6157</v>
      </c>
      <c r="B6218" s="1832">
        <f>'Assets-Liab 5-6'!J5</f>
        <v>242724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317004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317004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317004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271613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271613</v>
      </c>
      <c r="D6229" s="2" t="str">
        <f t="shared" si="96"/>
        <v>Error?</v>
      </c>
      <c r="E6229" s="2" t="s">
        <v>189</v>
      </c>
    </row>
    <row r="6230" spans="1:5" x14ac:dyDescent="0.2">
      <c r="A6230">
        <v>6169</v>
      </c>
      <c r="B6230" s="1832">
        <f>'Acct Summary 7-8'!J20</f>
        <v>45391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45391</v>
      </c>
      <c r="D6263" s="2" t="str">
        <f t="shared" si="96"/>
        <v>Error?</v>
      </c>
      <c r="E6263" s="2" t="s">
        <v>189</v>
      </c>
    </row>
    <row r="6264" spans="1:5" x14ac:dyDescent="0.2">
      <c r="A6264">
        <v>6203</v>
      </c>
      <c r="B6264" s="1832">
        <f>'Acct Summary 7-8'!J79</f>
        <v>173806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219197</v>
      </c>
      <c r="D6266" s="2" t="str">
        <f t="shared" si="96"/>
        <v>Error?</v>
      </c>
      <c r="E6266" s="2" t="s">
        <v>189</v>
      </c>
    </row>
    <row r="6267" spans="1:5" x14ac:dyDescent="0.2">
      <c r="A6267">
        <v>6206</v>
      </c>
      <c r="B6267" s="1832">
        <f>'Acct Summary 7-8'!C82</f>
        <v>-56410</v>
      </c>
      <c r="D6267" s="2" t="str">
        <f t="shared" si="96"/>
        <v>Error?</v>
      </c>
      <c r="E6267" s="2" t="s">
        <v>189</v>
      </c>
    </row>
    <row r="6268" spans="1:5" x14ac:dyDescent="0.2">
      <c r="A6268">
        <v>6207</v>
      </c>
      <c r="B6268" s="1832">
        <f>'Acct Summary 7-8'!D82</f>
        <v>-115981</v>
      </c>
      <c r="D6268" s="2" t="str">
        <f t="shared" si="96"/>
        <v>Error?</v>
      </c>
      <c r="E6268" s="2" t="s">
        <v>189</v>
      </c>
    </row>
    <row r="6269" spans="1:5" x14ac:dyDescent="0.2">
      <c r="A6269">
        <v>6208</v>
      </c>
      <c r="B6269" s="1832">
        <f>'Acct Summary 7-8'!E82</f>
        <v>6423</v>
      </c>
      <c r="D6269" s="2" t="str">
        <f t="shared" si="96"/>
        <v>Error?</v>
      </c>
      <c r="E6269" s="2" t="s">
        <v>189</v>
      </c>
    </row>
    <row r="6270" spans="1:5" x14ac:dyDescent="0.2">
      <c r="A6270">
        <v>6209</v>
      </c>
      <c r="B6270" s="1832">
        <f>'Acct Summary 7-8'!F82</f>
        <v>53846</v>
      </c>
      <c r="D6270" s="2" t="str">
        <f t="shared" si="96"/>
        <v>Error?</v>
      </c>
      <c r="E6270" s="2" t="s">
        <v>189</v>
      </c>
    </row>
    <row r="6271" spans="1:5" x14ac:dyDescent="0.2">
      <c r="A6271">
        <v>6210</v>
      </c>
      <c r="B6271" s="1832">
        <f>'Acct Summary 7-8'!G82</f>
        <v>35249</v>
      </c>
      <c r="D6271" s="2" t="str">
        <f t="shared" ref="D6271:D6334" si="97">IF(ISBLANK(B6271),"OK",IF(A6271-B6271=0,"OK","Error?"))</f>
        <v>Error?</v>
      </c>
      <c r="E6271" s="2" t="s">
        <v>189</v>
      </c>
    </row>
    <row r="6272" spans="1:5" x14ac:dyDescent="0.2">
      <c r="A6272">
        <v>6211</v>
      </c>
      <c r="B6272" s="1832">
        <f>'Acct Summary 7-8'!H82</f>
        <v>-377045</v>
      </c>
      <c r="D6272" s="2" t="str">
        <f t="shared" si="97"/>
        <v>Error?</v>
      </c>
      <c r="E6272" s="2" t="s">
        <v>189</v>
      </c>
    </row>
    <row r="6273" spans="1:5" x14ac:dyDescent="0.2">
      <c r="A6273">
        <v>6212</v>
      </c>
      <c r="B6273" s="1832">
        <f>'Acct Summary 7-8'!I82</f>
        <v>108068</v>
      </c>
      <c r="D6273" s="2" t="str">
        <f t="shared" si="97"/>
        <v>Error?</v>
      </c>
      <c r="E6273" s="2" t="s">
        <v>189</v>
      </c>
    </row>
    <row r="6274" spans="1:5" x14ac:dyDescent="0.2">
      <c r="A6274">
        <v>6213</v>
      </c>
      <c r="B6274" s="1832">
        <f>'Acct Summary 7-8'!J82</f>
        <v>45391</v>
      </c>
      <c r="D6274" s="2" t="str">
        <f t="shared" si="97"/>
        <v>Error?</v>
      </c>
      <c r="E6274" s="2" t="s">
        <v>189</v>
      </c>
    </row>
    <row r="6275" spans="1:5" x14ac:dyDescent="0.2">
      <c r="A6275">
        <v>6214</v>
      </c>
      <c r="B6275" s="1832">
        <f>'Acct Summary 7-8'!K82</f>
        <v>41193</v>
      </c>
      <c r="D6275" s="2" t="str">
        <f t="shared" si="97"/>
        <v>Error?</v>
      </c>
      <c r="E6275" s="2" t="s">
        <v>189</v>
      </c>
    </row>
    <row r="6276" spans="1:5" x14ac:dyDescent="0.2">
      <c r="A6276">
        <v>6215</v>
      </c>
      <c r="B6276" s="1832">
        <f>'Acct Summary 7-8'!C83</f>
        <v>-4.5101624569951496E-2</v>
      </c>
      <c r="D6276" s="2" t="str">
        <f t="shared" si="97"/>
        <v>Error?</v>
      </c>
      <c r="E6276" s="2" t="s">
        <v>189</v>
      </c>
    </row>
    <row r="6277" spans="1:5" x14ac:dyDescent="0.2">
      <c r="A6277">
        <v>6216</v>
      </c>
      <c r="B6277" s="1832">
        <f>'Acct Summary 7-8'!D83</f>
        <v>-0.19498929904994394</v>
      </c>
      <c r="D6277" s="2" t="str">
        <f t="shared" si="97"/>
        <v>Error?</v>
      </c>
      <c r="E6277" s="2" t="s">
        <v>189</v>
      </c>
    </row>
    <row r="6278" spans="1:5" x14ac:dyDescent="0.2">
      <c r="A6278">
        <v>6217</v>
      </c>
      <c r="B6278" s="1832">
        <f>'Acct Summary 7-8'!E83</f>
        <v>1.0352347289580443E-2</v>
      </c>
      <c r="D6278" s="2" t="str">
        <f t="shared" si="97"/>
        <v>Error?</v>
      </c>
      <c r="E6278" s="2" t="s">
        <v>189</v>
      </c>
    </row>
    <row r="6279" spans="1:5" x14ac:dyDescent="0.2">
      <c r="A6279">
        <v>6218</v>
      </c>
      <c r="B6279" s="1832">
        <f>'Acct Summary 7-8'!F83</f>
        <v>8.494600755657572E-2</v>
      </c>
      <c r="D6279" s="2" t="str">
        <f t="shared" si="97"/>
        <v>Error?</v>
      </c>
      <c r="E6279" s="2" t="s">
        <v>189</v>
      </c>
    </row>
    <row r="6280" spans="1:5" x14ac:dyDescent="0.2">
      <c r="A6280">
        <v>6219</v>
      </c>
      <c r="B6280" s="1832">
        <f>'Acct Summary 7-8'!G83</f>
        <v>0.1050954084675015</v>
      </c>
      <c r="D6280" s="2" t="str">
        <f t="shared" si="97"/>
        <v>Error?</v>
      </c>
      <c r="E6280" s="2" t="s">
        <v>189</v>
      </c>
    </row>
    <row r="6281" spans="1:5" x14ac:dyDescent="0.2">
      <c r="A6281">
        <v>6220</v>
      </c>
      <c r="B6281" s="1832">
        <f>'Acct Summary 7-8'!H83</f>
        <v>-2.3550740479328414</v>
      </c>
      <c r="D6281" s="2" t="str">
        <f t="shared" si="97"/>
        <v>Error?</v>
      </c>
      <c r="E6281" s="2" t="s">
        <v>189</v>
      </c>
    </row>
    <row r="6282" spans="1:5" x14ac:dyDescent="0.2">
      <c r="A6282">
        <v>6221</v>
      </c>
      <c r="B6282" s="1832">
        <f>'Acct Summary 7-8'!I83</f>
        <v>3.4053199853159202E-2</v>
      </c>
      <c r="D6282" s="2" t="str">
        <f t="shared" si="97"/>
        <v>Error?</v>
      </c>
      <c r="E6282" s="2" t="s">
        <v>189</v>
      </c>
    </row>
    <row r="6283" spans="1:5" x14ac:dyDescent="0.2">
      <c r="A6283">
        <v>6222</v>
      </c>
      <c r="B6283" s="1832">
        <f>'Acct Summary 7-8'!J83</f>
        <v>0.20707856403144204</v>
      </c>
      <c r="D6283" s="2" t="str">
        <f t="shared" si="97"/>
        <v>Error?</v>
      </c>
      <c r="E6283" s="2" t="s">
        <v>189</v>
      </c>
    </row>
    <row r="6284" spans="1:5" x14ac:dyDescent="0.2">
      <c r="A6284">
        <v>6223</v>
      </c>
      <c r="B6284" s="1832">
        <f>'Acct Summary 7-8'!K83</f>
        <v>0.35277946680140793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314499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314499</v>
      </c>
      <c r="D6301" s="2" t="str">
        <f t="shared" si="97"/>
        <v>Error?</v>
      </c>
      <c r="E6301" s="2" t="s">
        <v>189</v>
      </c>
    </row>
    <row r="6302" spans="1:5" x14ac:dyDescent="0.2">
      <c r="A6302">
        <v>6241</v>
      </c>
      <c r="B6302" s="1832">
        <f>'Revenues 9-14'!J14</f>
        <v>393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393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2112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2112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7898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317004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18329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169030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19593</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209806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19593</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493919</v>
      </c>
      <c r="D6983" s="2" t="str">
        <f t="shared" si="108"/>
        <v>Error?</v>
      </c>
    </row>
    <row r="6984" spans="1:4" x14ac:dyDescent="0.2">
      <c r="A6984">
        <v>6923</v>
      </c>
      <c r="B6984" s="1832">
        <f>'Expenditures 15-22'!K86</f>
        <v>493919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91266</v>
      </c>
      <c r="D6987" s="2" t="str">
        <f t="shared" si="108"/>
        <v>Error?</v>
      </c>
    </row>
    <row r="6988" spans="1:4" x14ac:dyDescent="0.2">
      <c r="A6988">
        <v>6927</v>
      </c>
      <c r="B6988" s="1832">
        <f>'Expenditures 15-22'!K88</f>
        <v>91266</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585185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19593</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271613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317004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242580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242580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242580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8441</v>
      </c>
      <c r="D7073" s="2" t="str">
        <f t="shared" si="109"/>
        <v>Error?</v>
      </c>
    </row>
    <row r="7074" spans="1:4" x14ac:dyDescent="0.2">
      <c r="A7074">
        <v>7013</v>
      </c>
      <c r="B7074" s="1832">
        <f>'Expenditures 15-22'!K216</f>
        <v>8441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1158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1158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174813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174813</v>
      </c>
      <c r="D7153" s="2" t="str">
        <f t="shared" si="110"/>
        <v>Error?</v>
      </c>
    </row>
    <row r="7154" spans="1:4" x14ac:dyDescent="0.2">
      <c r="A7154">
        <v>7093</v>
      </c>
      <c r="B7154" s="1832">
        <f>'Expenditures 15-22'!C323</f>
        <v>44653</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4875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49528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37282</v>
      </c>
      <c r="D7174" s="2" t="str">
        <f t="shared" si="111"/>
        <v>Error?</v>
      </c>
    </row>
    <row r="7175" spans="1:4" x14ac:dyDescent="0.2">
      <c r="A7175">
        <v>7114</v>
      </c>
      <c r="B7175" s="1832">
        <f>'Expenditures 15-22'!F325</f>
        <v>3109</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40391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5723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5723</v>
      </c>
      <c r="D7198" s="2" t="str">
        <f t="shared" si="111"/>
        <v>Error?</v>
      </c>
    </row>
    <row r="7199" spans="1:4" x14ac:dyDescent="0.2">
      <c r="A7199">
        <v>7138</v>
      </c>
      <c r="B7199" s="1832">
        <f>'Expenditures 15-22'!C330</f>
        <v>44653</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223851</v>
      </c>
      <c r="D7201" s="2" t="str">
        <f t="shared" si="111"/>
        <v>Error?</v>
      </c>
    </row>
    <row r="7202" spans="1:4" x14ac:dyDescent="0.2">
      <c r="A7202">
        <v>7141</v>
      </c>
      <c r="B7202" s="1832">
        <f>'Expenditures 15-22'!F330</f>
        <v>3109</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271613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44653</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223851</v>
      </c>
      <c r="D7218" s="2" t="str">
        <f t="shared" si="111"/>
        <v>Error?</v>
      </c>
    </row>
    <row r="7219" spans="1:4" x14ac:dyDescent="0.2">
      <c r="A7219">
        <v>7158</v>
      </c>
      <c r="B7219" s="1832">
        <f>'Expenditures 15-22'!F342</f>
        <v>3109</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271613</v>
      </c>
      <c r="D7224" s="2" t="str">
        <f t="shared" si="111"/>
        <v>Error?</v>
      </c>
    </row>
    <row r="7225" spans="1:4" x14ac:dyDescent="0.2">
      <c r="A7225">
        <v>7164</v>
      </c>
      <c r="B7225" s="1832">
        <f>'Expenditures 15-22'!K343</f>
        <v>45391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20183</v>
      </c>
      <c r="D7246" s="2" t="str">
        <f t="shared" si="112"/>
        <v>Error?</v>
      </c>
    </row>
    <row r="7247" spans="1:4" x14ac:dyDescent="0.2">
      <c r="A7247">
        <f t="shared" si="113"/>
        <v>7186</v>
      </c>
      <c r="B7247" s="1832">
        <f>'Expenditures 15-22'!E7</f>
        <v>2611</v>
      </c>
      <c r="D7247" s="2" t="str">
        <f t="shared" si="112"/>
        <v>Error?</v>
      </c>
    </row>
    <row r="7248" spans="1:4" x14ac:dyDescent="0.2">
      <c r="A7248">
        <f t="shared" si="113"/>
        <v>7187</v>
      </c>
      <c r="B7248" s="1832">
        <f>'Expenditures 15-22'!F7</f>
        <v>16983</v>
      </c>
      <c r="D7248" s="2" t="str">
        <f t="shared" si="112"/>
        <v>Error?</v>
      </c>
    </row>
    <row r="7249" spans="1:4" x14ac:dyDescent="0.2">
      <c r="A7249">
        <f t="shared" si="113"/>
        <v>7188</v>
      </c>
      <c r="B7249" s="1832">
        <f>'Expenditures 15-22'!G7</f>
        <v>999</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262173</v>
      </c>
      <c r="D7624" s="2" t="str">
        <f t="shared" si="124"/>
        <v>Error?</v>
      </c>
      <c r="E7624" s="2" t="s">
        <v>19</v>
      </c>
    </row>
    <row r="7625" spans="1:5" x14ac:dyDescent="0.2">
      <c r="A7625">
        <f t="shared" si="123"/>
        <v>7564</v>
      </c>
      <c r="B7625" s="1832">
        <f>'Cap Outlay Deprec 26'!I17</f>
        <v>26217.3</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886281.3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792607</v>
      </c>
      <c r="D7708" s="2" t="str">
        <f t="shared" si="126"/>
        <v>Error?</v>
      </c>
      <c r="E7708" s="2" t="s">
        <v>822</v>
      </c>
    </row>
    <row r="7709" spans="1:5" x14ac:dyDescent="0.2">
      <c r="A7709">
        <v>7648</v>
      </c>
      <c r="B7709" s="1832">
        <f>'Rest Tax Levies-Tort Im 25'!K3</f>
        <v>15479</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7898</v>
      </c>
      <c r="D7712" s="2" t="str">
        <f t="shared" si="126"/>
        <v>Error?</v>
      </c>
      <c r="E7712" s="2" t="s">
        <v>822</v>
      </c>
    </row>
    <row r="7713" spans="1:6" x14ac:dyDescent="0.2">
      <c r="A7713">
        <v>7652</v>
      </c>
      <c r="B7713" s="1832">
        <f>'Rest Tax Levies-Tort Im 25'!J8</f>
        <v>601020</v>
      </c>
      <c r="D7713" s="2" t="str">
        <f t="shared" si="126"/>
        <v>Error?</v>
      </c>
      <c r="E7713" s="2" t="s">
        <v>822</v>
      </c>
    </row>
    <row r="7714" spans="1:6" x14ac:dyDescent="0.2">
      <c r="A7714">
        <v>7653</v>
      </c>
      <c r="B7714" s="1832">
        <f>'Rest Tax Levies-Tort Im 25'!K9</f>
        <v>9530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601020</v>
      </c>
      <c r="D7718" s="2" t="str">
        <f t="shared" si="126"/>
        <v>Error?</v>
      </c>
      <c r="E7718" s="2" t="s">
        <v>822</v>
      </c>
    </row>
    <row r="7719" spans="1:6" x14ac:dyDescent="0.2">
      <c r="A7719">
        <v>7658</v>
      </c>
      <c r="B7719" s="1832">
        <f>'Rest Tax Levies-Tort Im 25'!K12</f>
        <v>17428</v>
      </c>
      <c r="D7719" s="2" t="str">
        <f t="shared" si="126"/>
        <v>Error?</v>
      </c>
      <c r="E7719" s="2" t="s">
        <v>822</v>
      </c>
    </row>
    <row r="7720" spans="1:6" x14ac:dyDescent="0.2">
      <c r="A7720">
        <v>7659</v>
      </c>
      <c r="B7720" s="1832">
        <f>'Rest Tax Levies-Tort Im 25'!H14</f>
        <v>53226</v>
      </c>
      <c r="D7720" s="2" t="str">
        <f t="shared" si="126"/>
        <v>Error?</v>
      </c>
      <c r="E7720" s="2" t="s">
        <v>822</v>
      </c>
    </row>
    <row r="7721" spans="1:6" x14ac:dyDescent="0.2">
      <c r="A7721">
        <v>7660</v>
      </c>
      <c r="B7721" s="1832">
        <f>'Rest Tax Levies-Tort Im 25'!K14</f>
        <v>15803</v>
      </c>
      <c r="D7721" s="2" t="str">
        <f t="shared" si="126"/>
        <v>Error?</v>
      </c>
      <c r="E7721" s="2" t="s">
        <v>822</v>
      </c>
    </row>
    <row r="7722" spans="1:6" x14ac:dyDescent="0.2">
      <c r="A7722">
        <v>7661</v>
      </c>
      <c r="B7722" s="1832">
        <f>'Rest Tax Levies-Tort Im 25'!J15</f>
        <v>454759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525000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525000</v>
      </c>
      <c r="D7727" s="2" t="str">
        <f t="shared" si="126"/>
        <v>Error?</v>
      </c>
      <c r="E7727" s="2" t="s">
        <v>822</v>
      </c>
    </row>
    <row r="7728" spans="1:6" x14ac:dyDescent="0.2">
      <c r="A7728">
        <v>7667</v>
      </c>
      <c r="B7728" s="1832">
        <f>'Revenues 9-14'!E103</f>
        <v>525000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979759</v>
      </c>
      <c r="D7730" s="2" t="str">
        <f t="shared" si="126"/>
        <v>Error?</v>
      </c>
      <c r="E7730" s="2" t="s">
        <v>822</v>
      </c>
    </row>
    <row r="7731" spans="1:6" x14ac:dyDescent="0.2">
      <c r="A7731">
        <v>7670</v>
      </c>
      <c r="B7731" s="1832">
        <f>'Revenues 9-14'!H103</f>
        <v>76020</v>
      </c>
      <c r="D7731" s="2" t="str">
        <f t="shared" si="126"/>
        <v>Error?</v>
      </c>
      <c r="E7731" s="2" t="s">
        <v>822</v>
      </c>
    </row>
    <row r="7732" spans="1:6" x14ac:dyDescent="0.2">
      <c r="A7732">
        <v>7671</v>
      </c>
      <c r="B7732" s="1832">
        <f>'Rest Tax Levies-Tort Im 25'!J24</f>
        <v>413868</v>
      </c>
      <c r="D7732" s="2" t="str">
        <f t="shared" si="126"/>
        <v>Error?</v>
      </c>
      <c r="E7732" s="2" t="s">
        <v>822</v>
      </c>
    </row>
    <row r="7733" spans="1:6" x14ac:dyDescent="0.2">
      <c r="A7733">
        <v>7672</v>
      </c>
      <c r="B7733" s="1832">
        <f>'Rest Tax Levies-Tort Im 25'!K24</f>
        <v>17104</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413868</v>
      </c>
      <c r="D7742" s="2" t="str">
        <f t="shared" si="126"/>
        <v>Error?</v>
      </c>
      <c r="E7742" s="2" t="s">
        <v>822</v>
      </c>
    </row>
    <row r="7743" spans="1:6" x14ac:dyDescent="0.2">
      <c r="A7743">
        <v>7682</v>
      </c>
      <c r="B7743" s="1832">
        <f>'Rest Tax Levies-Tort Im 25'!K26</f>
        <v>17104</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15803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16000000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-212787</v>
      </c>
      <c r="D7820" s="2" t="str">
        <f t="shared" si="128"/>
        <v>Error?</v>
      </c>
    </row>
    <row r="7821" spans="1:5" x14ac:dyDescent="0.2">
      <c r="A7821">
        <v>7760</v>
      </c>
      <c r="B7821" s="1832">
        <f>'ICR Computation 30'!G40</f>
        <v>-212787</v>
      </c>
      <c r="D7821" s="2" t="str">
        <f t="shared" si="128"/>
        <v>Error?</v>
      </c>
    </row>
    <row r="7822" spans="1:5" x14ac:dyDescent="0.2">
      <c r="A7822" s="1">
        <v>7761</v>
      </c>
      <c r="B7822" s="1832">
        <f>'PCTC-OEPP 27-28'!F14</f>
        <v>10396440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208807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2161400</v>
      </c>
      <c r="D7834" s="2" t="str">
        <f t="shared" si="129"/>
        <v>Error?</v>
      </c>
      <c r="E7834" s="4" t="s">
        <v>1998</v>
      </c>
    </row>
    <row r="7835" spans="1:5" x14ac:dyDescent="0.2">
      <c r="A7835">
        <v>7774</v>
      </c>
      <c r="B7835" s="1832">
        <f>'PCTC-OEPP 27-28'!F78</f>
        <v>8235040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9897.8846153846152</v>
      </c>
      <c r="D7837" s="2" t="str">
        <f t="shared" si="129"/>
        <v>Error?</v>
      </c>
      <c r="E7837" s="4" t="s">
        <v>1998</v>
      </c>
    </row>
    <row r="7838" spans="1:5" x14ac:dyDescent="0.2">
      <c r="A7838">
        <v>7777</v>
      </c>
      <c r="B7838" s="1832">
        <f>'PCTC-OEPP 27-28'!F96</f>
        <v>101843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16436</v>
      </c>
      <c r="D7842" s="2" t="str">
        <f t="shared" si="129"/>
        <v>Error?</v>
      </c>
      <c r="E7842" s="4" t="s">
        <v>1998</v>
      </c>
    </row>
    <row r="7843" spans="1:5" x14ac:dyDescent="0.2">
      <c r="A7843">
        <v>7782</v>
      </c>
      <c r="B7843" s="1832">
        <f>'PCTC-OEPP 27-28'!F107</f>
        <v>18329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9530</v>
      </c>
      <c r="D7846" s="2" t="str">
        <f t="shared" si="129"/>
        <v>Error?</v>
      </c>
      <c r="E7846" s="4" t="s">
        <v>1998</v>
      </c>
    </row>
    <row r="7847" spans="1:5" x14ac:dyDescent="0.2">
      <c r="A7847">
        <v>7786</v>
      </c>
      <c r="B7847" s="1832">
        <f>'PCTC-OEPP 27-28'!F112</f>
        <v>440013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243201</v>
      </c>
      <c r="D7858" s="2" t="str">
        <f t="shared" si="129"/>
        <v>Error?</v>
      </c>
      <c r="E7858" s="4" t="s">
        <v>1998</v>
      </c>
    </row>
    <row r="7859" spans="1:5" x14ac:dyDescent="0.2">
      <c r="A7859">
        <v>7798</v>
      </c>
      <c r="B7859" s="1832">
        <f>'PCTC-OEPP 27-28'!F127</f>
        <v>128798</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147923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39434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3108</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1275138</v>
      </c>
      <c r="D7877" s="2" t="str">
        <f t="shared" si="129"/>
        <v>Error?</v>
      </c>
      <c r="E7877" s="4" t="s">
        <v>1998</v>
      </c>
    </row>
    <row r="7878" spans="1:5" x14ac:dyDescent="0.2">
      <c r="A7878">
        <v>7817</v>
      </c>
      <c r="B7878" s="1832">
        <f>'PCTC-OEPP 27-28'!F176</f>
        <v>6959902</v>
      </c>
      <c r="D7878" s="2" t="str">
        <f t="shared" si="129"/>
        <v>Error?</v>
      </c>
      <c r="E7878" s="4" t="s">
        <v>1998</v>
      </c>
    </row>
    <row r="7879" spans="1:5" x14ac:dyDescent="0.2">
      <c r="A7879">
        <v>7818</v>
      </c>
      <c r="B7879" s="1832">
        <f>'PCTC-OEPP 27-28'!F178</f>
        <v>7846183.2999999998</v>
      </c>
      <c r="D7879" s="2" t="str">
        <f t="shared" si="129"/>
        <v>Error?</v>
      </c>
      <c r="E7879" s="4" t="s">
        <v>1998</v>
      </c>
    </row>
    <row r="7880" spans="1:5" x14ac:dyDescent="0.2">
      <c r="A7880">
        <v>7819</v>
      </c>
      <c r="B7880" s="1832">
        <f>'PCTC-OEPP 27-28'!F180</f>
        <v>9430.5087740384606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30" sqref="B3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Argenta-Oreana CUSD 1</v>
      </c>
      <c r="B7" s="2539"/>
      <c r="C7" s="2539"/>
      <c r="D7" s="2540"/>
      <c r="E7" s="2541">
        <f>COVER!A13</f>
        <v>39055001026</v>
      </c>
      <c r="F7" s="2542"/>
      <c r="G7" s="2548">
        <f>COVER!T23</f>
        <v>66.004384999999999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FLOYD &amp; ASSOCIATES, CPAs</v>
      </c>
      <c r="H9" s="2554"/>
      <c r="I9" s="2554"/>
      <c r="J9" s="2554"/>
      <c r="K9" s="2554"/>
      <c r="L9" s="2555"/>
    </row>
    <row r="10" spans="1:29" ht="13.5" customHeight="1" x14ac:dyDescent="0.2">
      <c r="A10" s="2527" t="str">
        <f>COVER!A38</f>
        <v>MR. DAMIAN JONES</v>
      </c>
      <c r="B10" s="2528"/>
      <c r="C10" s="2528"/>
      <c r="D10" s="2528"/>
      <c r="E10" s="2528"/>
      <c r="F10" s="2529"/>
      <c r="G10" s="2521" t="str">
        <f>COVER!T17</f>
        <v>910 STATE HIGHWAY 54 EAST</v>
      </c>
      <c r="H10" s="2522"/>
      <c r="I10" s="2522"/>
      <c r="J10" s="2522"/>
      <c r="K10" s="2522"/>
      <c r="L10" s="2523"/>
    </row>
    <row r="11" spans="1:29" ht="13.5" customHeight="1" x14ac:dyDescent="0.2">
      <c r="A11" s="963" t="s">
        <v>1502</v>
      </c>
      <c r="B11" s="964"/>
      <c r="C11" s="965"/>
      <c r="D11" s="970"/>
      <c r="E11" s="965"/>
      <c r="F11" s="969"/>
      <c r="G11" s="2521" t="str">
        <f>COVER!T19</f>
        <v>CLINTON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julie@floydcpas.com</v>
      </c>
      <c r="J13" s="2534"/>
      <c r="K13" s="2534"/>
      <c r="L13" s="2535"/>
    </row>
    <row r="14" spans="1:29" ht="13.5" customHeight="1" x14ac:dyDescent="0.2">
      <c r="A14" s="2521" t="str">
        <f>COVER!A19</f>
        <v>500 NORTH MAIN STREET P.O. BOX 440</v>
      </c>
      <c r="B14" s="2522"/>
      <c r="C14" s="2522"/>
      <c r="D14" s="2522"/>
      <c r="E14" s="2522"/>
      <c r="F14" s="2523"/>
      <c r="G14" s="974" t="s">
        <v>1175</v>
      </c>
      <c r="H14" s="972"/>
      <c r="I14" s="972"/>
      <c r="J14" s="972"/>
      <c r="K14" s="972"/>
      <c r="L14" s="973"/>
    </row>
    <row r="15" spans="1:29" ht="13.5" customHeight="1" x14ac:dyDescent="0.2">
      <c r="A15" s="2521" t="str">
        <f>COVER!A21</f>
        <v>ARGENTA</v>
      </c>
      <c r="B15" s="2522"/>
      <c r="C15" s="2522"/>
      <c r="D15" s="2522"/>
      <c r="E15" s="2522"/>
      <c r="F15" s="2523"/>
      <c r="G15" s="2518" t="str">
        <f>COVER!T15</f>
        <v>JULIE M. FLOYD, CPA</v>
      </c>
      <c r="H15" s="2519"/>
      <c r="I15" s="2519"/>
      <c r="J15" s="2519"/>
      <c r="K15" s="2519"/>
      <c r="L15" s="2520"/>
    </row>
    <row r="16" spans="1:29" ht="12.2" customHeight="1" x14ac:dyDescent="0.2">
      <c r="A16" s="2544">
        <f>COVER!A25</f>
        <v>62501</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217-935-8871</v>
      </c>
      <c r="H18" s="2539"/>
      <c r="I18" s="2539"/>
      <c r="J18" s="2539"/>
      <c r="K18" s="2538" t="str">
        <f>COVER!X21</f>
        <v>217-935-5711</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30" sqref="B3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Argenta-Oreana CUSD 1</v>
      </c>
      <c r="B1" s="2561"/>
      <c r="C1" s="2561"/>
      <c r="D1" s="2561"/>
    </row>
    <row r="2" spans="1:11" s="991" customFormat="1" ht="12.75" x14ac:dyDescent="0.2">
      <c r="A2" s="2562">
        <f>'Single Audit Cover'!E7</f>
        <v>39055001026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30" sqref="A30:B3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Argenta-Oreana CUSD 1</v>
      </c>
      <c r="B1" s="2565"/>
      <c r="C1" s="2565"/>
      <c r="D1" s="2565"/>
      <c r="E1" s="2565"/>
    </row>
    <row r="2" spans="1:5" x14ac:dyDescent="0.2">
      <c r="A2" s="2566">
        <f>'Single Audit Cover'!E7</f>
        <v>39055001026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571758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41623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613381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613381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613381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30" sqref="B3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Argenta-Oreana CUSD 1</v>
      </c>
      <c r="C1" s="2569"/>
      <c r="D1" s="2569"/>
      <c r="E1" s="2569"/>
      <c r="F1" s="2569"/>
      <c r="G1" s="2569"/>
      <c r="H1" s="2569"/>
      <c r="I1" s="2569"/>
      <c r="J1" s="2569"/>
      <c r="K1" s="2569"/>
      <c r="L1" s="2569"/>
      <c r="M1" s="2569"/>
    </row>
    <row r="2" spans="2:14" ht="15" x14ac:dyDescent="0.2">
      <c r="B2" s="2570">
        <f>'Single Audit Cover'!E7</f>
        <v>39055001026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0" sqref="B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2059</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30" sqref="B3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Argenta-Oreana CUSD 1</v>
      </c>
      <c r="B1" s="2582"/>
      <c r="C1" s="2582"/>
      <c r="D1" s="2582"/>
      <c r="E1" s="2582"/>
      <c r="F1" s="2582"/>
    </row>
    <row r="2" spans="1:7" ht="13.5" customHeight="1" x14ac:dyDescent="0.2">
      <c r="A2" s="2570">
        <f>'Single Audit Cover'!E7</f>
        <v>39055001026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30" sqref="B3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Argenta-Oreana CUSD 1</v>
      </c>
      <c r="C1" s="2597"/>
      <c r="D1" s="2597"/>
      <c r="E1" s="2597"/>
      <c r="F1" s="2597"/>
      <c r="G1" s="2597"/>
      <c r="H1" s="2597"/>
      <c r="I1" s="2597"/>
      <c r="J1" s="1178"/>
    </row>
    <row r="2" spans="2:10" s="295" customFormat="1" ht="12.75" customHeight="1" x14ac:dyDescent="0.2">
      <c r="B2" s="2598">
        <f>'Single Audit Cover'!E7</f>
        <v>39055001026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7" t="str">
        <f>"Total Federal Expenditures for 7/1/"&amp;MID('AFR20'!E2,3,2)-1&amp;"-6/30/"&amp;MID('AFR20'!E2,3,2)</f>
        <v>Total Federal Expenditures for 7/1/19-6/30/20</v>
      </c>
      <c r="C45" s="1918"/>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0" sqref="B3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Argenta-Oreana CUSD 1</v>
      </c>
      <c r="C1" s="2596"/>
      <c r="D1" s="2596"/>
      <c r="E1" s="2596"/>
      <c r="F1" s="2596"/>
      <c r="G1" s="2596"/>
      <c r="H1" s="2596"/>
      <c r="I1" s="2596"/>
      <c r="J1" s="2596"/>
      <c r="K1" s="2596"/>
      <c r="L1" s="1144"/>
      <c r="M1" s="1144"/>
    </row>
    <row r="2" spans="1:13" ht="12" customHeight="1" x14ac:dyDescent="0.2">
      <c r="B2" s="2598">
        <f>'Single Audit Cover'!E7</f>
        <v>39055001026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0" sqref="B3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Argenta-Oreana CUSD 1</v>
      </c>
      <c r="C1" s="2619"/>
      <c r="D1" s="2619"/>
      <c r="E1" s="2619"/>
      <c r="F1" s="2619"/>
      <c r="G1" s="2619"/>
      <c r="H1" s="2619"/>
      <c r="I1" s="2619"/>
      <c r="J1" s="2619"/>
      <c r="K1" s="2619"/>
      <c r="L1" s="1221"/>
    </row>
    <row r="2" spans="1:12" ht="12.75" customHeight="1" x14ac:dyDescent="0.2">
      <c r="B2" s="2620">
        <f>'Single Audit Cover'!E7</f>
        <v>39055001026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0" sqref="B3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Argenta-Oreana CUSD 1</v>
      </c>
      <c r="C1" s="2596"/>
      <c r="D1" s="2596"/>
      <c r="E1" s="1240"/>
    </row>
    <row r="2" spans="2:5" s="1058" customFormat="1" ht="12.75" customHeight="1" x14ac:dyDescent="0.2">
      <c r="B2" s="2598">
        <f>'Single Audit Cover'!E7</f>
        <v>39055001026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0" sqref="B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135177613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2.46E-2</v>
      </c>
      <c r="E10" s="333" t="s">
        <v>998</v>
      </c>
      <c r="F10" s="332">
        <v>5.0000000000000001E-3</v>
      </c>
      <c r="G10" s="333" t="s">
        <v>998</v>
      </c>
      <c r="H10" s="332">
        <v>2E-3</v>
      </c>
      <c r="I10" s="333" t="s">
        <v>999</v>
      </c>
      <c r="J10" s="1424">
        <f>ROUND(D10+F10+H10,5)</f>
        <v>3.1600000000000003E-2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8543800</v>
      </c>
      <c r="E16" s="1547"/>
      <c r="F16" s="1546">
        <f>SUM('Acct Summary 7-8'!C17,'Acct Summary 7-8'!D17,'Acct Summary 7-8'!F17)</f>
        <v>8559052</v>
      </c>
      <c r="G16" s="1547"/>
      <c r="H16" s="1546">
        <f>SUM(D16-F16)</f>
        <v>-15252</v>
      </c>
      <c r="I16" s="1548"/>
      <c r="J16" s="1546">
        <f>SUM('Acct Summary 7-8'!C81,'Acct Summary 7-8'!D81,'Acct Summary 7-8'!F81,'Acct Summary 7-8'!I81)</f>
        <v>5652928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18654510.594000001</v>
      </c>
      <c r="I31" s="345"/>
      <c r="J31" s="217"/>
      <c r="K31" s="217"/>
      <c r="L31" s="217"/>
      <c r="M31" s="217"/>
    </row>
    <row r="32" spans="1:13" ht="13.35" customHeight="1" x14ac:dyDescent="0.2">
      <c r="B32" s="346" t="s">
        <v>2067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10105000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30" sqref="B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Argenta-Oreana CUSD 1</v>
      </c>
      <c r="E7" s="368"/>
      <c r="G7" s="247"/>
      <c r="H7" s="364"/>
      <c r="I7" s="364"/>
      <c r="J7" s="364"/>
      <c r="K7" s="364"/>
      <c r="L7" s="307"/>
      <c r="M7" s="307"/>
      <c r="N7" s="307"/>
      <c r="O7" s="307"/>
      <c r="P7" s="307"/>
    </row>
    <row r="8" spans="1:18" ht="12.75" x14ac:dyDescent="0.2">
      <c r="A8" s="307"/>
      <c r="B8" s="307"/>
      <c r="C8" s="366" t="s">
        <v>1115</v>
      </c>
      <c r="D8" s="369">
        <f>COVER!A13</f>
        <v>39055001026</v>
      </c>
      <c r="E8" s="370"/>
      <c r="G8" s="307"/>
      <c r="H8" s="307"/>
      <c r="I8" s="307"/>
      <c r="J8" s="307"/>
      <c r="K8" s="307"/>
      <c r="L8" s="307"/>
      <c r="M8" s="307"/>
      <c r="N8" s="307"/>
      <c r="O8" s="307"/>
      <c r="P8" s="307"/>
    </row>
    <row r="9" spans="1:18" ht="12.75" x14ac:dyDescent="0.2">
      <c r="A9" s="307"/>
      <c r="B9" s="307"/>
      <c r="C9" s="366" t="s">
        <v>708</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5652928</v>
      </c>
      <c r="I12" s="380"/>
      <c r="J12" s="380"/>
      <c r="K12" s="1559">
        <f>TRUNC((H12/H13*100000),5)/100000</f>
        <v>0.66164095600000006</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8543800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8559052</v>
      </c>
      <c r="I17" s="380"/>
      <c r="J17" s="389"/>
      <c r="K17" s="1559">
        <f>TRUNC((H17/H18*100000),5)/100000</f>
        <v>1.0017851541</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8543800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314.61763210000004</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5629035</v>
      </c>
      <c r="I24" s="394"/>
      <c r="J24" s="394"/>
      <c r="K24" s="1555">
        <f>TRUNC(((H24/H25*100000)/100000),2)</f>
        <v>236.76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23775.14444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3630870.68518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10105000</v>
      </c>
      <c r="I32" s="392"/>
      <c r="J32" s="392"/>
      <c r="K32" s="1555">
        <f>TRUNC(100-((((H32/H33*100))*100)/100),2)</f>
        <v>45.83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18654510.594000001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30" sqref="B30"/>
      <selection pane="bottomLeft" activeCell="B30" sqref="B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305553</v>
      </c>
      <c r="D4" s="1573">
        <v>118260</v>
      </c>
      <c r="E4" s="1573">
        <v>139575</v>
      </c>
      <c r="F4" s="1573">
        <v>219417</v>
      </c>
      <c r="G4" s="1573">
        <v>28028</v>
      </c>
      <c r="H4" s="1573">
        <v>76385</v>
      </c>
      <c r="I4" s="1573">
        <v>5178</v>
      </c>
      <c r="J4" s="1574">
        <v>366</v>
      </c>
      <c r="K4" s="1573">
        <v>927</v>
      </c>
      <c r="L4" s="1573">
        <v>241018</v>
      </c>
      <c r="M4" s="1575"/>
      <c r="N4" s="1576"/>
    </row>
    <row r="5" spans="1:14" x14ac:dyDescent="0.2">
      <c r="A5" s="427" t="s">
        <v>985</v>
      </c>
      <c r="B5" s="429">
        <v>120</v>
      </c>
      <c r="C5" s="1572">
        <v>921285</v>
      </c>
      <c r="D5" s="1573">
        <v>476547</v>
      </c>
      <c r="E5" s="1573">
        <v>480864</v>
      </c>
      <c r="F5" s="1573">
        <v>414468</v>
      </c>
      <c r="G5" s="1573">
        <v>307372</v>
      </c>
      <c r="H5" s="1573">
        <v>83714</v>
      </c>
      <c r="I5" s="1573">
        <v>3168327</v>
      </c>
      <c r="J5" s="1574">
        <v>242724</v>
      </c>
      <c r="K5" s="1577">
        <v>115840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23893</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1250731</v>
      </c>
      <c r="D13" s="1587">
        <f t="shared" ref="D13:L13" si="0">SUM(D4:D12)</f>
        <v>594807</v>
      </c>
      <c r="E13" s="1587">
        <f t="shared" si="0"/>
        <v>620439</v>
      </c>
      <c r="F13" s="1587">
        <f t="shared" si="0"/>
        <v>633885</v>
      </c>
      <c r="G13" s="1587">
        <f t="shared" si="0"/>
        <v>335400</v>
      </c>
      <c r="H13" s="1587">
        <f t="shared" si="0"/>
        <v>160099</v>
      </c>
      <c r="I13" s="1587">
        <f t="shared" si="0"/>
        <v>3173505</v>
      </c>
      <c r="J13" s="1587">
        <f t="shared" si="0"/>
        <v>243090</v>
      </c>
      <c r="K13" s="1587">
        <f t="shared" si="0"/>
        <v>116767</v>
      </c>
      <c r="L13" s="1587">
        <f t="shared" si="0"/>
        <v>241018</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75875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30439786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1366021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620439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9484561</v>
      </c>
    </row>
    <row r="23" spans="1:14" ht="13.5" customHeight="1" thickBot="1" x14ac:dyDescent="0.25">
      <c r="A23" s="1426" t="s">
        <v>638</v>
      </c>
      <c r="B23" s="1429"/>
      <c r="C23" s="1575"/>
      <c r="D23" s="1575"/>
      <c r="E23" s="1575"/>
      <c r="F23" s="1575"/>
      <c r="G23" s="1575"/>
      <c r="H23" s="1575"/>
      <c r="I23" s="1575"/>
      <c r="J23" s="1575"/>
      <c r="K23" s="1575"/>
      <c r="L23" s="1575"/>
      <c r="M23" s="1594">
        <f>SUM(M15:M22)</f>
        <v>31881682</v>
      </c>
      <c r="N23" s="1594">
        <f>SUM(N21:N22)</f>
        <v>10105000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v>23893</v>
      </c>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241018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23893</v>
      </c>
      <c r="K34" s="1600">
        <f t="shared" si="1"/>
        <v>0</v>
      </c>
      <c r="L34" s="1601">
        <f>SUM(L33)</f>
        <v>241018</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10105000</v>
      </c>
    </row>
    <row r="37" spans="1:14" ht="13.5" thickBot="1" x14ac:dyDescent="0.25">
      <c r="A37" s="1426" t="s">
        <v>648</v>
      </c>
      <c r="B37" s="1429"/>
      <c r="C37" s="1582"/>
      <c r="D37" s="1582"/>
      <c r="E37" s="1582"/>
      <c r="F37" s="1582"/>
      <c r="G37" s="1582"/>
      <c r="H37" s="1582"/>
      <c r="I37" s="1582"/>
      <c r="J37" s="1582"/>
      <c r="K37" s="1582"/>
      <c r="L37" s="1585"/>
      <c r="M37" s="1575"/>
      <c r="N37" s="1594">
        <f>SUM(N36:N36)</f>
        <v>10105000</v>
      </c>
    </row>
    <row r="38" spans="1:14" s="307" customFormat="1" ht="13.5" customHeight="1" thickTop="1" x14ac:dyDescent="0.2">
      <c r="A38" s="438" t="s">
        <v>417</v>
      </c>
      <c r="B38" s="432">
        <v>714</v>
      </c>
      <c r="C38" s="1573">
        <v>91279</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1159452</v>
      </c>
      <c r="D39" s="1573">
        <v>594807</v>
      </c>
      <c r="E39" s="1573">
        <v>620439</v>
      </c>
      <c r="F39" s="1573">
        <v>633885</v>
      </c>
      <c r="G39" s="1573">
        <v>335400</v>
      </c>
      <c r="H39" s="1573">
        <v>160099</v>
      </c>
      <c r="I39" s="1573">
        <v>3173505</v>
      </c>
      <c r="J39" s="1574">
        <v>219197</v>
      </c>
      <c r="K39" s="1573">
        <v>116767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31881682</v>
      </c>
      <c r="N40" s="1604"/>
    </row>
    <row r="41" spans="1:14" ht="13.5" customHeight="1" thickBot="1" x14ac:dyDescent="0.25">
      <c r="A41" s="1426" t="s">
        <v>650</v>
      </c>
      <c r="B41" s="1405"/>
      <c r="C41" s="1594">
        <f>(SUM(C34,C37,C38,C39))</f>
        <v>1250731</v>
      </c>
      <c r="D41" s="1594">
        <f t="shared" ref="D41:L41" si="2">SUM(D34,D37,D38:D39)</f>
        <v>594807</v>
      </c>
      <c r="E41" s="1594">
        <f t="shared" si="2"/>
        <v>620439</v>
      </c>
      <c r="F41" s="1594">
        <f t="shared" si="2"/>
        <v>633885</v>
      </c>
      <c r="G41" s="1594">
        <f t="shared" si="2"/>
        <v>335400</v>
      </c>
      <c r="H41" s="1594">
        <f t="shared" si="2"/>
        <v>160099</v>
      </c>
      <c r="I41" s="1594">
        <f t="shared" si="2"/>
        <v>3173505</v>
      </c>
      <c r="J41" s="1594">
        <f t="shared" si="2"/>
        <v>243090</v>
      </c>
      <c r="K41" s="1594">
        <f t="shared" si="2"/>
        <v>116767</v>
      </c>
      <c r="L41" s="1594">
        <f t="shared" si="2"/>
        <v>241018</v>
      </c>
      <c r="M41" s="1594">
        <f>SUM(M40)</f>
        <v>31881682</v>
      </c>
      <c r="N41" s="1594">
        <f>SUM(N37)</f>
        <v>10105000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2" activePane="bottomLeft" state="frozen"/>
      <selection activeCell="B30" sqref="B30"/>
      <selection pane="bottomLeft" activeCell="B30" sqref="B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3626829</v>
      </c>
      <c r="D4" s="1606">
        <f>'Revenues 9-14'!D109</f>
        <v>916077</v>
      </c>
      <c r="E4" s="1606">
        <f>'Revenues 9-14'!E109</f>
        <v>1319598</v>
      </c>
      <c r="F4" s="1606">
        <f>'Revenues 9-14'!F109</f>
        <v>272268</v>
      </c>
      <c r="G4" s="1606">
        <f>'Revenues 9-14'!G109</f>
        <v>291959</v>
      </c>
      <c r="H4" s="1606">
        <f>'Revenues 9-14'!H109</f>
        <v>77715</v>
      </c>
      <c r="I4" s="1606">
        <f>'Revenues 9-14'!I109</f>
        <v>108068</v>
      </c>
      <c r="J4" s="1606">
        <f>'Revenues 9-14'!J109</f>
        <v>317004</v>
      </c>
      <c r="K4" s="1606">
        <f>'Revenues 9-14'!K109</f>
        <v>67450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2558787</v>
      </c>
      <c r="D6" s="1607">
        <f>'Revenues 9-14'!D170</f>
        <v>50000</v>
      </c>
      <c r="E6" s="1607">
        <f>'Revenues 9-14'!E170</f>
        <v>0</v>
      </c>
      <c r="F6" s="1607">
        <f>'Revenues 9-14'!F170</f>
        <v>440013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571758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6757374</v>
      </c>
      <c r="D8" s="1594">
        <f t="shared" ref="D8:K8" si="0">SUM(D4:D7)</f>
        <v>966077</v>
      </c>
      <c r="E8" s="1594">
        <f t="shared" si="0"/>
        <v>1319598</v>
      </c>
      <c r="F8" s="1594">
        <f t="shared" si="0"/>
        <v>712281</v>
      </c>
      <c r="G8" s="1594">
        <f t="shared" si="0"/>
        <v>291959</v>
      </c>
      <c r="H8" s="1594">
        <f t="shared" si="0"/>
        <v>77715</v>
      </c>
      <c r="I8" s="1594">
        <f t="shared" si="0"/>
        <v>108068</v>
      </c>
      <c r="J8" s="1594">
        <f t="shared" si="0"/>
        <v>317004</v>
      </c>
      <c r="K8" s="1594">
        <f t="shared" si="0"/>
        <v>67450</v>
      </c>
      <c r="L8" s="325"/>
    </row>
    <row r="9" spans="1:13" ht="15.75" thickTop="1" x14ac:dyDescent="0.2">
      <c r="A9" s="449" t="s">
        <v>1634</v>
      </c>
      <c r="B9" s="450">
        <v>3998</v>
      </c>
      <c r="C9" s="1586">
        <v>3629774</v>
      </c>
      <c r="D9" s="1613"/>
      <c r="E9" s="1586"/>
      <c r="F9" s="1586"/>
      <c r="G9" s="1614"/>
      <c r="H9" s="1586"/>
      <c r="I9" s="1609" t="s">
        <v>1159</v>
      </c>
      <c r="J9" s="1583"/>
      <c r="K9" s="1586"/>
      <c r="L9" s="325"/>
    </row>
    <row r="10" spans="1:13" s="452" customFormat="1" ht="13.5" thickBot="1" x14ac:dyDescent="0.25">
      <c r="A10" s="1426" t="s">
        <v>1163</v>
      </c>
      <c r="B10" s="1407"/>
      <c r="C10" s="1594">
        <f>SUM(C8:C9)</f>
        <v>10387148</v>
      </c>
      <c r="D10" s="1594">
        <f t="shared" ref="D10:K10" si="1">SUM(D8:D9)</f>
        <v>966077</v>
      </c>
      <c r="E10" s="1594">
        <f t="shared" si="1"/>
        <v>1319598</v>
      </c>
      <c r="F10" s="1594">
        <f t="shared" si="1"/>
        <v>712281</v>
      </c>
      <c r="G10" s="1594">
        <f t="shared" si="1"/>
        <v>291959</v>
      </c>
      <c r="H10" s="1594">
        <f t="shared" si="1"/>
        <v>77715</v>
      </c>
      <c r="I10" s="1594">
        <f t="shared" si="1"/>
        <v>108068</v>
      </c>
      <c r="J10" s="1594">
        <f t="shared" si="1"/>
        <v>317004</v>
      </c>
      <c r="K10" s="1594">
        <f t="shared" si="1"/>
        <v>67450</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4803929</v>
      </c>
      <c r="D12" s="1616" t="s">
        <v>1159</v>
      </c>
      <c r="E12" s="1575" t="s">
        <v>1159</v>
      </c>
      <c r="F12" s="1575" t="s">
        <v>1159</v>
      </c>
      <c r="G12" s="1606">
        <f>'Expenditures 15-22'!K229</f>
        <v>88527</v>
      </c>
      <c r="H12" s="1617"/>
      <c r="I12" s="1575" t="s">
        <v>1159</v>
      </c>
      <c r="J12" s="1575" t="s">
        <v>1159</v>
      </c>
      <c r="K12" s="1617" t="s">
        <v>1159</v>
      </c>
      <c r="L12" s="325"/>
    </row>
    <row r="13" spans="1:13" ht="15.75" customHeight="1" x14ac:dyDescent="0.2">
      <c r="A13" s="1314" t="s">
        <v>454</v>
      </c>
      <c r="B13" s="1316">
        <v>2000</v>
      </c>
      <c r="C13" s="1607">
        <f>'Expenditures 15-22'!K74</f>
        <v>1428780</v>
      </c>
      <c r="D13" s="1607">
        <f>'Expenditures 15-22'!K129</f>
        <v>1082723</v>
      </c>
      <c r="E13" s="1576" t="s">
        <v>1159</v>
      </c>
      <c r="F13" s="1607">
        <f>'Expenditures 15-22'!K184</f>
        <v>658435</v>
      </c>
      <c r="G13" s="1607">
        <f>'Expenditures 15-22'!K279</f>
        <v>140501</v>
      </c>
      <c r="H13" s="1607">
        <f>'Expenditures 15-22'!K303</f>
        <v>454760</v>
      </c>
      <c r="I13" s="1575" t="s">
        <v>1159</v>
      </c>
      <c r="J13" s="1607">
        <f>'Expenditures 15-22'!K330</f>
        <v>271613</v>
      </c>
      <c r="K13" s="1618">
        <f>'Expenditures 15-22'!K352</f>
        <v>26257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585185</v>
      </c>
      <c r="D15" s="1607">
        <f>'Expenditures 15-22'!K139</f>
        <v>0</v>
      </c>
      <c r="E15" s="1607">
        <f>'Expenditures 15-22'!K160</f>
        <v>0</v>
      </c>
      <c r="F15" s="1607">
        <f>'Expenditures 15-22'!K196</f>
        <v>0</v>
      </c>
      <c r="G15" s="1607">
        <f>'Expenditures 15-22'!K285</f>
        <v>27682</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1309065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6817894</v>
      </c>
      <c r="D17" s="1594">
        <f t="shared" si="2"/>
        <v>1082723</v>
      </c>
      <c r="E17" s="1594">
        <f t="shared" si="2"/>
        <v>1309065</v>
      </c>
      <c r="F17" s="1594">
        <f t="shared" si="2"/>
        <v>658435</v>
      </c>
      <c r="G17" s="1594">
        <f t="shared" si="2"/>
        <v>256710</v>
      </c>
      <c r="H17" s="1594">
        <f t="shared" si="2"/>
        <v>454760</v>
      </c>
      <c r="I17" s="1575"/>
      <c r="J17" s="1594">
        <f>SUM(J12:J16)</f>
        <v>271613</v>
      </c>
      <c r="K17" s="1594">
        <f>SUM(K12:K16)</f>
        <v>26257</v>
      </c>
      <c r="L17" s="325"/>
    </row>
    <row r="18" spans="1:12" ht="15" customHeight="1" thickTop="1" x14ac:dyDescent="0.2">
      <c r="A18" s="1430" t="s">
        <v>1635</v>
      </c>
      <c r="B18" s="1431">
        <v>4180</v>
      </c>
      <c r="C18" s="1606">
        <f t="shared" ref="C18:H18" si="3">C9</f>
        <v>3629774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10447668</v>
      </c>
      <c r="D19" s="1594">
        <f t="shared" si="4"/>
        <v>1082723</v>
      </c>
      <c r="E19" s="1594">
        <f t="shared" si="4"/>
        <v>1309065</v>
      </c>
      <c r="F19" s="1594">
        <f t="shared" si="4"/>
        <v>658435</v>
      </c>
      <c r="G19" s="1594">
        <f t="shared" si="4"/>
        <v>256710</v>
      </c>
      <c r="H19" s="1594">
        <f t="shared" si="4"/>
        <v>454760</v>
      </c>
      <c r="I19" s="1575"/>
      <c r="J19" s="1594">
        <f>SUM(J17:J18)</f>
        <v>271613</v>
      </c>
      <c r="K19" s="1594">
        <f>SUM(K17:K18)</f>
        <v>26257</v>
      </c>
      <c r="L19" s="325"/>
    </row>
    <row r="20" spans="1:12" ht="16.5" thickTop="1" thickBot="1" x14ac:dyDescent="0.25">
      <c r="A20" s="2234" t="s">
        <v>1636</v>
      </c>
      <c r="B20" s="2235"/>
      <c r="C20" s="1622">
        <f>C8-C17</f>
        <v>-60520</v>
      </c>
      <c r="D20" s="1622">
        <f t="shared" ref="D20:K20" si="5">D8-D17</f>
        <v>-116646</v>
      </c>
      <c r="E20" s="1622">
        <f t="shared" si="5"/>
        <v>10533</v>
      </c>
      <c r="F20" s="1622">
        <f t="shared" si="5"/>
        <v>53846</v>
      </c>
      <c r="G20" s="1622">
        <f t="shared" si="5"/>
        <v>35249</v>
      </c>
      <c r="H20" s="1622">
        <f t="shared" si="5"/>
        <v>-377045</v>
      </c>
      <c r="I20" s="1622">
        <f t="shared" si="5"/>
        <v>108068</v>
      </c>
      <c r="J20" s="1622">
        <f t="shared" si="5"/>
        <v>45391</v>
      </c>
      <c r="K20" s="1622">
        <f t="shared" si="5"/>
        <v>41193</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v>4110</v>
      </c>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v>665</v>
      </c>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4110</v>
      </c>
      <c r="D44" s="1624">
        <f t="shared" ref="D44:K44" si="6">SUM(D24:D43)</f>
        <v>665</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v>4110</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4110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4110</v>
      </c>
      <c r="D77" s="1624">
        <f t="shared" si="8"/>
        <v>665</v>
      </c>
      <c r="E77" s="1624">
        <f t="shared" si="8"/>
        <v>-4110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-56410</v>
      </c>
      <c r="D78" s="1629">
        <f t="shared" si="9"/>
        <v>-115981</v>
      </c>
      <c r="E78" s="1629">
        <f t="shared" si="9"/>
        <v>6423</v>
      </c>
      <c r="F78" s="1629">
        <f t="shared" si="9"/>
        <v>53846</v>
      </c>
      <c r="G78" s="1629">
        <f t="shared" si="9"/>
        <v>35249</v>
      </c>
      <c r="H78" s="1629">
        <f t="shared" si="9"/>
        <v>-377045</v>
      </c>
      <c r="I78" s="1629">
        <f t="shared" si="9"/>
        <v>108068</v>
      </c>
      <c r="J78" s="1629">
        <f t="shared" si="9"/>
        <v>45391</v>
      </c>
      <c r="K78" s="1629">
        <f t="shared" si="9"/>
        <v>41193</v>
      </c>
      <c r="L78" s="457"/>
    </row>
    <row r="79" spans="1:12" ht="13.5" thickTop="1" x14ac:dyDescent="0.2">
      <c r="A79" s="1844" t="str">
        <f>"Fund Balances - July 1, "&amp;'AFR20'!E2-1</f>
        <v>Fund Balances - July 1, 2019</v>
      </c>
      <c r="B79" s="458"/>
      <c r="C79" s="1583">
        <v>1307141</v>
      </c>
      <c r="D79" s="1630">
        <v>710788</v>
      </c>
      <c r="E79" s="1630">
        <v>614016</v>
      </c>
      <c r="F79" s="1630">
        <v>580039</v>
      </c>
      <c r="G79" s="1630">
        <v>300151</v>
      </c>
      <c r="H79" s="1630">
        <v>537144</v>
      </c>
      <c r="I79" s="1630">
        <v>3065437</v>
      </c>
      <c r="J79" s="1630">
        <v>173806</v>
      </c>
      <c r="K79" s="1630">
        <v>75574</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1250731</v>
      </c>
      <c r="D81" s="1594">
        <f>SUM(D78:D80)</f>
        <v>594807</v>
      </c>
      <c r="E81" s="1594">
        <f t="shared" ref="E81:K81" si="10">SUM(E78:E80)</f>
        <v>620439</v>
      </c>
      <c r="F81" s="1594">
        <f t="shared" si="10"/>
        <v>633885</v>
      </c>
      <c r="G81" s="1594">
        <f t="shared" si="10"/>
        <v>335400</v>
      </c>
      <c r="H81" s="1594">
        <f t="shared" si="10"/>
        <v>160099</v>
      </c>
      <c r="I81" s="1594">
        <f t="shared" si="10"/>
        <v>3173505</v>
      </c>
      <c r="J81" s="1594">
        <f t="shared" si="10"/>
        <v>219197</v>
      </c>
      <c r="K81" s="1594">
        <f t="shared" si="10"/>
        <v>116767</v>
      </c>
      <c r="L81" s="325"/>
    </row>
    <row r="82" spans="1:12" ht="0.75" customHeight="1" thickTop="1" thickBot="1" x14ac:dyDescent="0.25">
      <c r="A82" s="459" t="s">
        <v>340</v>
      </c>
      <c r="B82" s="460"/>
      <c r="C82" s="461">
        <f>(C81-C79)</f>
        <v>-56410</v>
      </c>
      <c r="D82" s="461">
        <f t="shared" ref="D82:K82" si="11">(D81-D79)</f>
        <v>-115981</v>
      </c>
      <c r="E82" s="461">
        <f t="shared" si="11"/>
        <v>6423</v>
      </c>
      <c r="F82" s="461">
        <f t="shared" si="11"/>
        <v>53846</v>
      </c>
      <c r="G82" s="461">
        <f t="shared" si="11"/>
        <v>35249</v>
      </c>
      <c r="H82" s="461">
        <f t="shared" si="11"/>
        <v>-377045</v>
      </c>
      <c r="I82" s="461">
        <f t="shared" si="11"/>
        <v>108068</v>
      </c>
      <c r="J82" s="461">
        <f t="shared" si="11"/>
        <v>45391</v>
      </c>
      <c r="K82" s="461">
        <f t="shared" si="11"/>
        <v>41193</v>
      </c>
    </row>
    <row r="83" spans="1:12" ht="14.25" hidden="1" thickTop="1" thickBot="1" x14ac:dyDescent="0.25">
      <c r="A83" s="462" t="s">
        <v>341</v>
      </c>
      <c r="B83" s="428"/>
      <c r="C83" s="463">
        <f>C82/C81</f>
        <v>-4.5101624569951496E-2</v>
      </c>
      <c r="D83" s="463">
        <f t="shared" ref="D83:K83" si="12">D82/D81</f>
        <v>-0.19498929904994394</v>
      </c>
      <c r="E83" s="463">
        <f t="shared" si="12"/>
        <v>1.0352347289580443E-2</v>
      </c>
      <c r="F83" s="463">
        <f t="shared" si="12"/>
        <v>8.494600755657572E-2</v>
      </c>
      <c r="G83" s="463">
        <f t="shared" si="12"/>
        <v>0.1050954084675015</v>
      </c>
      <c r="H83" s="463">
        <f t="shared" si="12"/>
        <v>-2.3550740479328414</v>
      </c>
      <c r="I83" s="463">
        <f t="shared" si="12"/>
        <v>3.4053199853159202E-2</v>
      </c>
      <c r="J83" s="463">
        <f t="shared" si="12"/>
        <v>0.20707856403144204</v>
      </c>
      <c r="K83" s="463">
        <f t="shared" si="12"/>
        <v>0.35277946680140793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C1" colorId="8" zoomScale="110" zoomScaleNormal="110" zoomScaleSheetLayoutView="75" workbookViewId="0">
      <pane ySplit="2" topLeftCell="A90" activePane="bottomLeft" state="frozen"/>
      <selection activeCell="B30" sqref="B30"/>
      <selection pane="bottomLeft" activeCell="E103" sqref="E10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3273404</v>
      </c>
      <c r="D5" s="1586">
        <v>665325</v>
      </c>
      <c r="E5" s="1573">
        <v>789188</v>
      </c>
      <c r="F5" s="1631">
        <v>266130</v>
      </c>
      <c r="G5" s="1573">
        <v>99852</v>
      </c>
      <c r="H5" s="1573"/>
      <c r="I5" s="1573">
        <v>66532</v>
      </c>
      <c r="J5" s="1574">
        <v>314499</v>
      </c>
      <c r="K5" s="1573">
        <v>66532</v>
      </c>
    </row>
    <row r="6" spans="1:12" ht="15" x14ac:dyDescent="0.2">
      <c r="A6" s="427" t="s">
        <v>1643</v>
      </c>
      <c r="B6" s="429">
        <v>1130</v>
      </c>
      <c r="C6" s="1573">
        <v>66532</v>
      </c>
      <c r="D6" s="1573"/>
      <c r="E6" s="1580"/>
      <c r="F6" s="1580"/>
      <c r="G6" s="1575"/>
      <c r="H6" s="1575"/>
      <c r="I6" s="1575"/>
      <c r="J6" s="1575"/>
      <c r="K6" s="1575"/>
    </row>
    <row r="7" spans="1:12" x14ac:dyDescent="0.2">
      <c r="A7" s="427" t="s">
        <v>110</v>
      </c>
      <c r="B7" s="471">
        <v>1140</v>
      </c>
      <c r="C7" s="1573">
        <v>53226</v>
      </c>
      <c r="D7" s="1573"/>
      <c r="E7" s="1575"/>
      <c r="F7" s="1574"/>
      <c r="G7" s="1574"/>
      <c r="H7" s="1574"/>
      <c r="I7" s="1575"/>
      <c r="J7" s="1575"/>
      <c r="K7" s="1575"/>
    </row>
    <row r="8" spans="1:12" x14ac:dyDescent="0.2">
      <c r="A8" s="427" t="s">
        <v>410</v>
      </c>
      <c r="B8" s="429">
        <v>1150</v>
      </c>
      <c r="C8" s="1580"/>
      <c r="D8" s="1580"/>
      <c r="E8" s="1582"/>
      <c r="F8" s="1582"/>
      <c r="G8" s="1586">
        <v>174728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3393162</v>
      </c>
      <c r="D12" s="1633">
        <f t="shared" si="0"/>
        <v>665325</v>
      </c>
      <c r="E12" s="1633">
        <f t="shared" si="0"/>
        <v>789188</v>
      </c>
      <c r="F12" s="1633">
        <f t="shared" si="0"/>
        <v>266130</v>
      </c>
      <c r="G12" s="1633">
        <f t="shared" si="0"/>
        <v>274580</v>
      </c>
      <c r="H12" s="1633">
        <f t="shared" si="0"/>
        <v>0</v>
      </c>
      <c r="I12" s="1633">
        <f t="shared" si="0"/>
        <v>66532</v>
      </c>
      <c r="J12" s="1633">
        <f t="shared" si="0"/>
        <v>314499</v>
      </c>
      <c r="K12" s="1594">
        <f t="shared" si="0"/>
        <v>66532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4247</v>
      </c>
      <c r="D14" s="1573">
        <v>833</v>
      </c>
      <c r="E14" s="1573">
        <v>988</v>
      </c>
      <c r="F14" s="1573">
        <v>333</v>
      </c>
      <c r="G14" s="1573">
        <v>345</v>
      </c>
      <c r="H14" s="1573"/>
      <c r="I14" s="1573">
        <v>83</v>
      </c>
      <c r="J14" s="1574">
        <v>393</v>
      </c>
      <c r="K14" s="1573">
        <v>83</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138475</v>
      </c>
      <c r="E16" s="1573"/>
      <c r="F16" s="1573"/>
      <c r="G16" s="1573">
        <v>14036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4247</v>
      </c>
      <c r="D18" s="1635">
        <f t="shared" ref="D18:K18" si="1">SUM(D14:D17)</f>
        <v>139308</v>
      </c>
      <c r="E18" s="1635">
        <f t="shared" si="1"/>
        <v>988</v>
      </c>
      <c r="F18" s="1635">
        <f t="shared" si="1"/>
        <v>333</v>
      </c>
      <c r="G18" s="1635">
        <f t="shared" si="1"/>
        <v>14381</v>
      </c>
      <c r="H18" s="1635">
        <f t="shared" si="1"/>
        <v>0</v>
      </c>
      <c r="I18" s="1635">
        <f t="shared" si="1"/>
        <v>83</v>
      </c>
      <c r="J18" s="1635">
        <f t="shared" si="1"/>
        <v>393</v>
      </c>
      <c r="K18" s="1636">
        <f t="shared" si="1"/>
        <v>83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6600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6600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2085</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2085</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18084</v>
      </c>
      <c r="D65" s="1573">
        <v>8954</v>
      </c>
      <c r="E65" s="1573">
        <v>4422</v>
      </c>
      <c r="F65" s="1574">
        <v>3720</v>
      </c>
      <c r="G65" s="1573">
        <v>2998</v>
      </c>
      <c r="H65" s="1573">
        <v>1695</v>
      </c>
      <c r="I65" s="1573">
        <v>41453</v>
      </c>
      <c r="J65" s="1574">
        <v>2112</v>
      </c>
      <c r="K65" s="1573">
        <v>835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18084</v>
      </c>
      <c r="D67" s="1594">
        <f t="shared" ref="D67:K67" si="2">SUM(D65:D66)</f>
        <v>8954</v>
      </c>
      <c r="E67" s="1594">
        <f t="shared" si="2"/>
        <v>4422</v>
      </c>
      <c r="F67" s="1594">
        <f t="shared" si="2"/>
        <v>3720</v>
      </c>
      <c r="G67" s="1594">
        <f t="shared" si="2"/>
        <v>2998</v>
      </c>
      <c r="H67" s="1594">
        <f t="shared" si="2"/>
        <v>1695</v>
      </c>
      <c r="I67" s="1594">
        <f t="shared" si="2"/>
        <v>41453</v>
      </c>
      <c r="J67" s="1594">
        <f t="shared" si="2"/>
        <v>2112</v>
      </c>
      <c r="K67" s="1594">
        <f t="shared" si="2"/>
        <v>835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72266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v>1512</v>
      </c>
      <c r="D74" s="1575"/>
      <c r="E74" s="1575"/>
      <c r="F74" s="1575"/>
      <c r="G74" s="1575"/>
      <c r="H74" s="1575"/>
      <c r="I74" s="1575"/>
      <c r="J74" s="1575"/>
      <c r="K74" s="1575"/>
    </row>
    <row r="75" spans="1:11" ht="12.75" customHeight="1" thickBot="1" x14ac:dyDescent="0.25">
      <c r="A75" s="1406" t="s">
        <v>544</v>
      </c>
      <c r="B75" s="1407"/>
      <c r="C75" s="1594">
        <f>SUM(C69:C74)</f>
        <v>73778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27640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72889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1314</v>
      </c>
      <c r="D81" s="1573"/>
      <c r="E81" s="1575"/>
      <c r="F81" s="1575"/>
      <c r="G81" s="1575"/>
      <c r="H81" s="1575"/>
      <c r="I81" s="1575"/>
      <c r="J81" s="1575"/>
      <c r="K81" s="1575"/>
    </row>
    <row r="82" spans="1:11" ht="12.75" customHeight="1" thickBot="1" x14ac:dyDescent="0.25">
      <c r="A82" s="1406" t="s">
        <v>239</v>
      </c>
      <c r="B82" s="1407"/>
      <c r="C82" s="1633">
        <f>SUM(C77:C81)</f>
        <v>101843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6720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7898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525000</v>
      </c>
      <c r="F103" s="1575"/>
      <c r="G103" s="1575"/>
      <c r="H103" s="1598">
        <v>76020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14497</v>
      </c>
      <c r="D107" s="1573">
        <v>102490</v>
      </c>
      <c r="E107" s="1573"/>
      <c r="F107" s="1573"/>
      <c r="G107" s="1573"/>
      <c r="H107" s="1573"/>
      <c r="I107" s="1573"/>
      <c r="J107" s="1574"/>
      <c r="K107" s="1573"/>
    </row>
    <row r="108" spans="1:12" ht="12.75" customHeight="1" thickBot="1" x14ac:dyDescent="0.25">
      <c r="A108" s="1406" t="s">
        <v>484</v>
      </c>
      <c r="B108" s="1408"/>
      <c r="C108" s="1633">
        <f>SUM(C95:C107)</f>
        <v>29115</v>
      </c>
      <c r="D108" s="1633">
        <f t="shared" ref="D108:K108" si="3">SUM(D95:D107)</f>
        <v>102490</v>
      </c>
      <c r="E108" s="1633">
        <f t="shared" si="3"/>
        <v>525000</v>
      </c>
      <c r="F108" s="1633">
        <f t="shared" si="3"/>
        <v>0</v>
      </c>
      <c r="G108" s="1633">
        <f t="shared" si="3"/>
        <v>0</v>
      </c>
      <c r="H108" s="1633">
        <f t="shared" si="3"/>
        <v>76020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3626829</v>
      </c>
      <c r="D109" s="1641">
        <f t="shared" si="4"/>
        <v>916077</v>
      </c>
      <c r="E109" s="1641">
        <f t="shared" si="4"/>
        <v>1319598</v>
      </c>
      <c r="F109" s="1641">
        <f t="shared" si="4"/>
        <v>272268</v>
      </c>
      <c r="G109" s="1641">
        <f t="shared" si="4"/>
        <v>291959</v>
      </c>
      <c r="H109" s="1641">
        <f t="shared" si="4"/>
        <v>77715</v>
      </c>
      <c r="I109" s="1641">
        <f t="shared" si="4"/>
        <v>108068</v>
      </c>
      <c r="J109" s="1641">
        <f t="shared" si="4"/>
        <v>317004</v>
      </c>
      <c r="K109" s="1629">
        <f t="shared" si="4"/>
        <v>67450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2293720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2293720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16436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16436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18329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18329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2745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9530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343208</v>
      </c>
      <c r="G152" s="1574"/>
      <c r="H152" s="1575"/>
      <c r="I152" s="1575"/>
      <c r="J152" s="1575"/>
      <c r="K152" s="1575"/>
    </row>
    <row r="153" spans="1:11" ht="12.75" customHeight="1" x14ac:dyDescent="0.2">
      <c r="A153" s="427" t="s">
        <v>1048</v>
      </c>
      <c r="B153" s="478">
        <v>3510</v>
      </c>
      <c r="C153" s="1632"/>
      <c r="D153" s="1573"/>
      <c r="E153" s="1640"/>
      <c r="F153" s="1573">
        <v>96805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440013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218027</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265067</v>
      </c>
      <c r="D169" s="1658">
        <f t="shared" si="6"/>
        <v>50000</v>
      </c>
      <c r="E169" s="1658">
        <f t="shared" si="6"/>
        <v>0</v>
      </c>
      <c r="F169" s="1658">
        <f t="shared" si="6"/>
        <v>440013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2558787</v>
      </c>
      <c r="D170" s="1641">
        <f t="shared" si="7"/>
        <v>50000</v>
      </c>
      <c r="E170" s="1641">
        <f t="shared" si="7"/>
        <v>0</v>
      </c>
      <c r="F170" s="1641">
        <f t="shared" si="7"/>
        <v>440013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137108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43560</v>
      </c>
      <c r="D193" s="1575"/>
      <c r="E193" s="1640"/>
      <c r="F193" s="1575"/>
      <c r="G193" s="1664"/>
      <c r="H193" s="1575"/>
      <c r="I193" s="1575"/>
      <c r="J193" s="1575"/>
      <c r="K193" s="1575"/>
    </row>
    <row r="194" spans="1:11" ht="12.75" customHeight="1" x14ac:dyDescent="0.2">
      <c r="A194" s="427" t="s">
        <v>1434</v>
      </c>
      <c r="B194" s="429">
        <v>4225</v>
      </c>
      <c r="C194" s="1632">
        <v>62533</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243201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113798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15000</v>
      </c>
      <c r="D203" s="1573"/>
      <c r="E203" s="1575"/>
      <c r="F203" s="1573"/>
      <c r="G203" s="1573"/>
      <c r="H203" s="1575"/>
      <c r="I203" s="1575"/>
      <c r="J203" s="1575"/>
      <c r="K203" s="1575"/>
    </row>
    <row r="204" spans="1:11" ht="12.75" customHeight="1" thickBot="1" x14ac:dyDescent="0.25">
      <c r="A204" s="1406" t="s">
        <v>397</v>
      </c>
      <c r="B204" s="1407"/>
      <c r="C204" s="1633">
        <f>SUM(C200:C203)</f>
        <v>128798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v>9294</v>
      </c>
      <c r="D212" s="1573"/>
      <c r="E212" s="1575"/>
      <c r="F212" s="1573"/>
      <c r="G212" s="1573"/>
      <c r="H212" s="1575"/>
      <c r="I212" s="1575"/>
      <c r="J212" s="1575"/>
      <c r="K212" s="1575"/>
    </row>
    <row r="213" spans="1:11" ht="12.75" customHeight="1" x14ac:dyDescent="0.2">
      <c r="A213" s="427" t="s">
        <v>1437</v>
      </c>
      <c r="B213" s="475">
        <v>4620</v>
      </c>
      <c r="C213" s="1632">
        <v>147923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157217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39434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3108</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571758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571758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6757374</v>
      </c>
      <c r="D268" s="1641">
        <f t="shared" si="12"/>
        <v>966077</v>
      </c>
      <c r="E268" s="1641">
        <f t="shared" si="12"/>
        <v>1319598</v>
      </c>
      <c r="F268" s="1641">
        <f t="shared" si="12"/>
        <v>712281</v>
      </c>
      <c r="G268" s="1641">
        <f t="shared" si="12"/>
        <v>291959</v>
      </c>
      <c r="H268" s="1641">
        <f t="shared" si="12"/>
        <v>77715</v>
      </c>
      <c r="I268" s="1641">
        <f t="shared" si="12"/>
        <v>108068</v>
      </c>
      <c r="J268" s="1641">
        <f t="shared" si="12"/>
        <v>317004</v>
      </c>
      <c r="K268" s="1629">
        <f t="shared" si="12"/>
        <v>67450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fianancial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4" activePane="bottomLeft" state="frozen"/>
      <selection activeCell="B30" sqref="B30"/>
      <selection pane="bottomLeft" activeCell="B30" sqref="B3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2843015</v>
      </c>
      <c r="D5" s="1573">
        <v>675591</v>
      </c>
      <c r="E5" s="1573">
        <v>13638</v>
      </c>
      <c r="F5" s="1573">
        <v>127821</v>
      </c>
      <c r="G5" s="1573">
        <v>1125</v>
      </c>
      <c r="H5" s="1573">
        <v>2126</v>
      </c>
      <c r="I5" s="1574">
        <v>19593</v>
      </c>
      <c r="J5" s="1574"/>
      <c r="K5" s="1672">
        <f>SUM(C5:J5)</f>
        <v>3682909</v>
      </c>
      <c r="L5" s="1573">
        <v>3764410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169030</v>
      </c>
      <c r="D7" s="1574">
        <v>20183</v>
      </c>
      <c r="E7" s="1574">
        <v>2611</v>
      </c>
      <c r="F7" s="1574">
        <v>16983</v>
      </c>
      <c r="G7" s="1574">
        <v>999</v>
      </c>
      <c r="H7" s="1574"/>
      <c r="I7" s="1574"/>
      <c r="J7" s="1574"/>
      <c r="K7" s="1672">
        <f t="shared" ref="K7:K32" si="0">SUM(C7:J7)</f>
        <v>209806</v>
      </c>
      <c r="L7" s="1573">
        <v>229169</v>
      </c>
    </row>
    <row r="8" spans="1:14" x14ac:dyDescent="0.2">
      <c r="A8" s="1274" t="s">
        <v>163</v>
      </c>
      <c r="B8" s="503">
        <v>1200</v>
      </c>
      <c r="C8" s="1573">
        <v>444707</v>
      </c>
      <c r="D8" s="1573">
        <v>37564</v>
      </c>
      <c r="E8" s="1573"/>
      <c r="F8" s="1573"/>
      <c r="G8" s="1573"/>
      <c r="H8" s="1573"/>
      <c r="I8" s="1574"/>
      <c r="J8" s="1574"/>
      <c r="K8" s="1672">
        <f t="shared" si="0"/>
        <v>482271</v>
      </c>
      <c r="L8" s="1573">
        <v>513440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88487</v>
      </c>
      <c r="D10" s="1573">
        <v>23634</v>
      </c>
      <c r="E10" s="1573"/>
      <c r="F10" s="1573">
        <v>8739</v>
      </c>
      <c r="G10" s="1573">
        <v>3521</v>
      </c>
      <c r="H10" s="1573"/>
      <c r="I10" s="1574"/>
      <c r="J10" s="1574"/>
      <c r="K10" s="1672">
        <f t="shared" si="0"/>
        <v>124381</v>
      </c>
      <c r="L10" s="1573">
        <v>106249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13277</v>
      </c>
      <c r="D13" s="1573">
        <v>254</v>
      </c>
      <c r="E13" s="1573">
        <v>400</v>
      </c>
      <c r="F13" s="1573">
        <v>3804</v>
      </c>
      <c r="G13" s="1573">
        <v>1275</v>
      </c>
      <c r="H13" s="1573"/>
      <c r="I13" s="1574"/>
      <c r="J13" s="1574"/>
      <c r="K13" s="1672">
        <f t="shared" si="0"/>
        <v>19010</v>
      </c>
      <c r="L13" s="1573"/>
    </row>
    <row r="14" spans="1:14" x14ac:dyDescent="0.2">
      <c r="A14" s="1274" t="s">
        <v>957</v>
      </c>
      <c r="B14" s="503">
        <v>1500</v>
      </c>
      <c r="C14" s="1573">
        <v>129088</v>
      </c>
      <c r="D14" s="1573">
        <v>14261</v>
      </c>
      <c r="E14" s="1573">
        <v>22262</v>
      </c>
      <c r="F14" s="1573">
        <v>32595</v>
      </c>
      <c r="G14" s="1573"/>
      <c r="H14" s="1573">
        <v>3897</v>
      </c>
      <c r="I14" s="1574"/>
      <c r="J14" s="1574"/>
      <c r="K14" s="1672">
        <f t="shared" si="0"/>
        <v>202103</v>
      </c>
      <c r="L14" s="1573">
        <v>232185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39452</v>
      </c>
      <c r="D19" s="1573">
        <v>6201</v>
      </c>
      <c r="E19" s="1573">
        <v>12620</v>
      </c>
      <c r="F19" s="1573">
        <v>23876</v>
      </c>
      <c r="G19" s="1573">
        <v>1300</v>
      </c>
      <c r="H19" s="1573"/>
      <c r="I19" s="1574"/>
      <c r="J19" s="1574"/>
      <c r="K19" s="1672">
        <f t="shared" si="0"/>
        <v>83449</v>
      </c>
      <c r="L19" s="1573">
        <v>64560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3727056</v>
      </c>
      <c r="D33" s="1674">
        <f t="shared" ref="D33:L33" si="1">SUM(D5:D32)</f>
        <v>777688</v>
      </c>
      <c r="E33" s="1674">
        <f t="shared" si="1"/>
        <v>51531</v>
      </c>
      <c r="F33" s="1674">
        <f t="shared" si="1"/>
        <v>213818</v>
      </c>
      <c r="G33" s="1674">
        <f t="shared" si="1"/>
        <v>8220</v>
      </c>
      <c r="H33" s="1674">
        <f t="shared" si="1"/>
        <v>6023</v>
      </c>
      <c r="I33" s="1674">
        <f t="shared" si="1"/>
        <v>19593</v>
      </c>
      <c r="J33" s="1674">
        <f t="shared" si="1"/>
        <v>0</v>
      </c>
      <c r="K33" s="1674">
        <f t="shared" si="1"/>
        <v>4803929</v>
      </c>
      <c r="L33" s="1674">
        <f t="shared" si="1"/>
        <v>4910013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83111</v>
      </c>
      <c r="D37" s="1573">
        <v>13322</v>
      </c>
      <c r="E37" s="1573"/>
      <c r="F37" s="1573"/>
      <c r="G37" s="1573"/>
      <c r="H37" s="1573"/>
      <c r="I37" s="1574"/>
      <c r="J37" s="1574"/>
      <c r="K37" s="1672">
        <f t="shared" si="2"/>
        <v>96433</v>
      </c>
      <c r="L37" s="1573">
        <v>94845</v>
      </c>
    </row>
    <row r="38" spans="1:14" x14ac:dyDescent="0.2">
      <c r="A38" s="1274" t="s">
        <v>196</v>
      </c>
      <c r="B38" s="503">
        <v>2130</v>
      </c>
      <c r="C38" s="1573">
        <v>33814</v>
      </c>
      <c r="D38" s="1573">
        <v>2323</v>
      </c>
      <c r="E38" s="1573">
        <v>86</v>
      </c>
      <c r="F38" s="1573">
        <v>2380</v>
      </c>
      <c r="G38" s="1573"/>
      <c r="H38" s="1573"/>
      <c r="I38" s="1574"/>
      <c r="J38" s="1574"/>
      <c r="K38" s="1672">
        <f t="shared" si="2"/>
        <v>38603</v>
      </c>
      <c r="L38" s="1573">
        <v>39145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116925</v>
      </c>
      <c r="D42" s="1674">
        <f t="shared" ref="D42:L42" si="3">SUM(D36:D41)</f>
        <v>15645</v>
      </c>
      <c r="E42" s="1674">
        <f t="shared" si="3"/>
        <v>86</v>
      </c>
      <c r="F42" s="1674">
        <f t="shared" si="3"/>
        <v>2380</v>
      </c>
      <c r="G42" s="1674">
        <f t="shared" si="3"/>
        <v>0</v>
      </c>
      <c r="H42" s="1674">
        <f t="shared" si="3"/>
        <v>0</v>
      </c>
      <c r="I42" s="1674">
        <f t="shared" si="3"/>
        <v>0</v>
      </c>
      <c r="J42" s="1674">
        <f t="shared" si="3"/>
        <v>0</v>
      </c>
      <c r="K42" s="1674">
        <f t="shared" si="3"/>
        <v>135036</v>
      </c>
      <c r="L42" s="1674">
        <f t="shared" si="3"/>
        <v>133990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28575</v>
      </c>
      <c r="D45" s="1573">
        <v>2992</v>
      </c>
      <c r="E45" s="1573">
        <v>2250</v>
      </c>
      <c r="F45" s="1573">
        <v>5666</v>
      </c>
      <c r="G45" s="1573"/>
      <c r="H45" s="1573">
        <v>255</v>
      </c>
      <c r="I45" s="1574"/>
      <c r="J45" s="1574"/>
      <c r="K45" s="1678">
        <f>SUM(C45:J45)</f>
        <v>39738</v>
      </c>
      <c r="L45" s="1573">
        <v>41954</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28575</v>
      </c>
      <c r="D47" s="1674">
        <f t="shared" ref="D47:K47" si="4">SUM(D44:D46)</f>
        <v>2992</v>
      </c>
      <c r="E47" s="1674">
        <f t="shared" si="4"/>
        <v>2250</v>
      </c>
      <c r="F47" s="1674">
        <f t="shared" si="4"/>
        <v>5666</v>
      </c>
      <c r="G47" s="1674">
        <f t="shared" si="4"/>
        <v>0</v>
      </c>
      <c r="H47" s="1674">
        <f t="shared" si="4"/>
        <v>255</v>
      </c>
      <c r="I47" s="1674">
        <f t="shared" si="4"/>
        <v>0</v>
      </c>
      <c r="J47" s="1674">
        <f t="shared" si="4"/>
        <v>0</v>
      </c>
      <c r="K47" s="1674">
        <f t="shared" si="4"/>
        <v>39738</v>
      </c>
      <c r="L47" s="1674">
        <f>SUM(L44:L46)</f>
        <v>41954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13783</v>
      </c>
      <c r="D49" s="1586">
        <v>1367</v>
      </c>
      <c r="E49" s="1586">
        <v>109912</v>
      </c>
      <c r="F49" s="1586">
        <v>5030</v>
      </c>
      <c r="G49" s="1586"/>
      <c r="H49" s="1586">
        <v>10578</v>
      </c>
      <c r="I49" s="1574"/>
      <c r="J49" s="1574"/>
      <c r="K49" s="1678">
        <f>SUM(C49:J49)</f>
        <v>140670</v>
      </c>
      <c r="L49" s="1586">
        <v>162525</v>
      </c>
    </row>
    <row r="50" spans="1:14" x14ac:dyDescent="0.2">
      <c r="A50" s="1274" t="s">
        <v>813</v>
      </c>
      <c r="B50" s="503">
        <v>2320</v>
      </c>
      <c r="C50" s="1573">
        <v>97404</v>
      </c>
      <c r="D50" s="1573">
        <v>35220</v>
      </c>
      <c r="E50" s="1573">
        <v>1433</v>
      </c>
      <c r="F50" s="1573">
        <v>498</v>
      </c>
      <c r="G50" s="1573"/>
      <c r="H50" s="1573">
        <v>1191</v>
      </c>
      <c r="I50" s="1574"/>
      <c r="J50" s="1574"/>
      <c r="K50" s="1678">
        <f>SUM(C50:J50)</f>
        <v>135746</v>
      </c>
      <c r="L50" s="1573">
        <v>137739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111187</v>
      </c>
      <c r="D53" s="1674">
        <f t="shared" ref="D53:L53" si="5">SUM(D49:D52)</f>
        <v>36587</v>
      </c>
      <c r="E53" s="1674">
        <f t="shared" si="5"/>
        <v>111345</v>
      </c>
      <c r="F53" s="1674">
        <f t="shared" si="5"/>
        <v>5528</v>
      </c>
      <c r="G53" s="1674">
        <f t="shared" si="5"/>
        <v>0</v>
      </c>
      <c r="H53" s="1674">
        <f t="shared" si="5"/>
        <v>11769</v>
      </c>
      <c r="I53" s="1674">
        <f t="shared" si="5"/>
        <v>0</v>
      </c>
      <c r="J53" s="1674">
        <f t="shared" si="5"/>
        <v>0</v>
      </c>
      <c r="K53" s="1674">
        <f t="shared" si="5"/>
        <v>276416</v>
      </c>
      <c r="L53" s="1674">
        <f t="shared" si="5"/>
        <v>300264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499718</v>
      </c>
      <c r="D55" s="1586">
        <v>120830</v>
      </c>
      <c r="E55" s="1586">
        <v>3055</v>
      </c>
      <c r="F55" s="1586">
        <v>452</v>
      </c>
      <c r="G55" s="1586"/>
      <c r="H55" s="1586">
        <v>704</v>
      </c>
      <c r="I55" s="1574"/>
      <c r="J55" s="1574"/>
      <c r="K55" s="1678">
        <f>SUM(C55:J55)</f>
        <v>624759</v>
      </c>
      <c r="L55" s="1586">
        <v>626998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499718</v>
      </c>
      <c r="D57" s="1679">
        <f t="shared" ref="D57:K57" si="6">SUM(D55:D56)</f>
        <v>120830</v>
      </c>
      <c r="E57" s="1679">
        <f t="shared" si="6"/>
        <v>3055</v>
      </c>
      <c r="F57" s="1679">
        <f t="shared" si="6"/>
        <v>452</v>
      </c>
      <c r="G57" s="1679">
        <f t="shared" si="6"/>
        <v>0</v>
      </c>
      <c r="H57" s="1679">
        <f t="shared" si="6"/>
        <v>704</v>
      </c>
      <c r="I57" s="1679">
        <f t="shared" si="6"/>
        <v>0</v>
      </c>
      <c r="J57" s="1679">
        <f t="shared" si="6"/>
        <v>0</v>
      </c>
      <c r="K57" s="1679">
        <f t="shared" si="6"/>
        <v>624759</v>
      </c>
      <c r="L57" s="1674">
        <f>SUM(L55:L56)</f>
        <v>626998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73345</v>
      </c>
      <c r="D60" s="1573">
        <v>2818</v>
      </c>
      <c r="E60" s="1573"/>
      <c r="F60" s="1573"/>
      <c r="G60" s="1573"/>
      <c r="H60" s="1573"/>
      <c r="I60" s="1574"/>
      <c r="J60" s="1574"/>
      <c r="K60" s="1678">
        <f t="shared" si="7"/>
        <v>76163</v>
      </c>
      <c r="L60" s="1573">
        <v>77110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86367</v>
      </c>
      <c r="D63" s="1573">
        <v>159</v>
      </c>
      <c r="E63" s="1573">
        <v>3356</v>
      </c>
      <c r="F63" s="1573">
        <v>163930</v>
      </c>
      <c r="G63" s="1573"/>
      <c r="H63" s="1573">
        <v>260</v>
      </c>
      <c r="I63" s="1574"/>
      <c r="J63" s="1574"/>
      <c r="K63" s="1678">
        <f t="shared" si="7"/>
        <v>254072</v>
      </c>
      <c r="L63" s="1573">
        <v>264908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159712</v>
      </c>
      <c r="D65" s="1674">
        <f t="shared" ref="D65:L65" si="8">SUM(D59:D64)</f>
        <v>2977</v>
      </c>
      <c r="E65" s="1674">
        <f t="shared" si="8"/>
        <v>3356</v>
      </c>
      <c r="F65" s="1674">
        <f t="shared" si="8"/>
        <v>163930</v>
      </c>
      <c r="G65" s="1674">
        <f t="shared" si="8"/>
        <v>0</v>
      </c>
      <c r="H65" s="1674">
        <f t="shared" si="8"/>
        <v>260</v>
      </c>
      <c r="I65" s="1674">
        <f t="shared" si="8"/>
        <v>0</v>
      </c>
      <c r="J65" s="1674">
        <f t="shared" si="8"/>
        <v>0</v>
      </c>
      <c r="K65" s="1674">
        <f t="shared" si="8"/>
        <v>330235</v>
      </c>
      <c r="L65" s="1674">
        <f t="shared" si="8"/>
        <v>342018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22596</v>
      </c>
      <c r="F71" s="1573"/>
      <c r="G71" s="1573"/>
      <c r="H71" s="1573"/>
      <c r="I71" s="1574"/>
      <c r="J71" s="1574"/>
      <c r="K71" s="1678">
        <f>SUM(C71:J71)</f>
        <v>22596</v>
      </c>
      <c r="L71" s="1573">
        <v>22600</v>
      </c>
      <c r="M71" s="501"/>
      <c r="N71" s="501"/>
    </row>
    <row r="72" spans="1:14" s="321" customFormat="1" ht="12.75" customHeight="1" thickBot="1" x14ac:dyDescent="0.25">
      <c r="A72" s="1380" t="s">
        <v>37</v>
      </c>
      <c r="B72" s="1383" t="s">
        <v>36</v>
      </c>
      <c r="C72" s="1674">
        <f>SUM(C67:C71)</f>
        <v>0</v>
      </c>
      <c r="D72" s="1674">
        <f t="shared" ref="D72:K72" si="9">SUM(D67:D71)</f>
        <v>0</v>
      </c>
      <c r="E72" s="1674">
        <f t="shared" si="9"/>
        <v>22596</v>
      </c>
      <c r="F72" s="1674">
        <f t="shared" si="9"/>
        <v>0</v>
      </c>
      <c r="G72" s="1674">
        <f t="shared" si="9"/>
        <v>0</v>
      </c>
      <c r="H72" s="1674">
        <f t="shared" si="9"/>
        <v>0</v>
      </c>
      <c r="I72" s="1674">
        <f t="shared" si="9"/>
        <v>0</v>
      </c>
      <c r="J72" s="1674">
        <f t="shared" si="9"/>
        <v>0</v>
      </c>
      <c r="K72" s="1674">
        <f t="shared" si="9"/>
        <v>22596</v>
      </c>
      <c r="L72" s="1674">
        <f>SUM(L67:L71)</f>
        <v>22600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916117</v>
      </c>
      <c r="D74" s="1681">
        <f t="shared" ref="D74:K74" si="10">SUM(D42,D47,D53,D57,D65,D72,D73)</f>
        <v>179031</v>
      </c>
      <c r="E74" s="1681">
        <f t="shared" si="10"/>
        <v>142688</v>
      </c>
      <c r="F74" s="1681">
        <f t="shared" si="10"/>
        <v>177956</v>
      </c>
      <c r="G74" s="1681">
        <f t="shared" si="10"/>
        <v>0</v>
      </c>
      <c r="H74" s="1681">
        <f t="shared" si="10"/>
        <v>12988</v>
      </c>
      <c r="I74" s="1681">
        <f t="shared" si="10"/>
        <v>0</v>
      </c>
      <c r="J74" s="1681">
        <f t="shared" si="10"/>
        <v>0</v>
      </c>
      <c r="K74" s="1681">
        <f t="shared" si="10"/>
        <v>1428780</v>
      </c>
      <c r="L74" s="1681">
        <f>SUM(L42,L47,L53,L57,L65,L72,L73)</f>
        <v>1467824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493919</v>
      </c>
      <c r="I86" s="1582"/>
      <c r="J86" s="1582"/>
      <c r="K86" s="1681">
        <f t="shared" ref="K86:K98" si="12">H86</f>
        <v>493919</v>
      </c>
      <c r="L86" s="1626">
        <v>490800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91266</v>
      </c>
      <c r="I88" s="1582"/>
      <c r="J88" s="1582"/>
      <c r="K88" s="1681">
        <f t="shared" si="12"/>
        <v>91266</v>
      </c>
      <c r="L88" s="1626">
        <v>72600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585185</v>
      </c>
      <c r="I92" s="1582"/>
      <c r="J92" s="1582"/>
      <c r="K92" s="1681">
        <f t="shared" si="12"/>
        <v>585185</v>
      </c>
      <c r="L92" s="1674">
        <f>SUM(L85:L91)</f>
        <v>563400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585185</v>
      </c>
      <c r="I102" s="1582"/>
      <c r="J102" s="1582"/>
      <c r="K102" s="1681">
        <f>SUM(K84,K92,K100,K101)</f>
        <v>585185</v>
      </c>
      <c r="L102" s="1681">
        <f>SUM(L84,L92,L100,L101)</f>
        <v>563400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4643173</v>
      </c>
      <c r="D114" s="1674">
        <f t="shared" ref="D114:K114" si="13">SUM(D33,D74,D75,D102,D112,D113)</f>
        <v>956719</v>
      </c>
      <c r="E114" s="1674">
        <f t="shared" si="13"/>
        <v>194219</v>
      </c>
      <c r="F114" s="1674">
        <f t="shared" si="13"/>
        <v>391774</v>
      </c>
      <c r="G114" s="1674">
        <f t="shared" si="13"/>
        <v>8220</v>
      </c>
      <c r="H114" s="1674">
        <f>SUM(H33,H74,H75,H102,H112,H113)</f>
        <v>604196</v>
      </c>
      <c r="I114" s="1674">
        <f t="shared" si="13"/>
        <v>19593</v>
      </c>
      <c r="J114" s="1674">
        <f t="shared" si="13"/>
        <v>0</v>
      </c>
      <c r="K114" s="1674">
        <f t="shared" si="13"/>
        <v>6817894</v>
      </c>
      <c r="L114" s="1674">
        <f>SUM(L33,L74,L75,L102,L112,L113)</f>
        <v>6941237</v>
      </c>
    </row>
    <row r="115" spans="1:14" ht="13.5" thickTop="1" x14ac:dyDescent="0.2">
      <c r="A115" s="2289" t="s">
        <v>989</v>
      </c>
      <c r="B115" s="2290"/>
      <c r="C115" s="1675"/>
      <c r="D115" s="1675"/>
      <c r="E115" s="1675"/>
      <c r="F115" s="1675"/>
      <c r="G115" s="1675"/>
      <c r="H115" s="1675"/>
      <c r="I115" s="1675"/>
      <c r="J115" s="1675"/>
      <c r="K115" s="1689">
        <f>'Revenues 9-14'!C268-'Expenditures 15-22'!K114</f>
        <v>-60520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363030</v>
      </c>
      <c r="D124" s="1573">
        <v>29906</v>
      </c>
      <c r="E124" s="1573">
        <v>205583</v>
      </c>
      <c r="F124" s="1573">
        <v>348886</v>
      </c>
      <c r="G124" s="1573">
        <v>123807</v>
      </c>
      <c r="H124" s="1573">
        <v>11511</v>
      </c>
      <c r="I124" s="1574"/>
      <c r="J124" s="1574"/>
      <c r="K124" s="1674">
        <f>SUM(C124:J124)</f>
        <v>1082723</v>
      </c>
      <c r="L124" s="1573">
        <v>1079434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363030</v>
      </c>
      <c r="D127" s="1674">
        <f t="shared" ref="D127:L127" si="14">SUM(D122:D126)</f>
        <v>29906</v>
      </c>
      <c r="E127" s="1674">
        <f t="shared" si="14"/>
        <v>205583</v>
      </c>
      <c r="F127" s="1674">
        <f t="shared" si="14"/>
        <v>348886</v>
      </c>
      <c r="G127" s="1674">
        <f t="shared" si="14"/>
        <v>123807</v>
      </c>
      <c r="H127" s="1674">
        <f t="shared" si="14"/>
        <v>11511</v>
      </c>
      <c r="I127" s="1674">
        <f t="shared" si="14"/>
        <v>0</v>
      </c>
      <c r="J127" s="1674">
        <f t="shared" si="14"/>
        <v>0</v>
      </c>
      <c r="K127" s="1674">
        <f t="shared" si="14"/>
        <v>1082723</v>
      </c>
      <c r="L127" s="1674">
        <f t="shared" si="14"/>
        <v>1079434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363030</v>
      </c>
      <c r="D129" s="1681">
        <f t="shared" ref="D129:L129" si="15">SUM(D120,D127,D128)</f>
        <v>29906</v>
      </c>
      <c r="E129" s="1681">
        <f t="shared" si="15"/>
        <v>205583</v>
      </c>
      <c r="F129" s="1681">
        <f t="shared" si="15"/>
        <v>348886</v>
      </c>
      <c r="G129" s="1681">
        <f t="shared" si="15"/>
        <v>123807</v>
      </c>
      <c r="H129" s="1681">
        <f t="shared" si="15"/>
        <v>11511</v>
      </c>
      <c r="I129" s="1681">
        <f t="shared" si="15"/>
        <v>0</v>
      </c>
      <c r="J129" s="1681">
        <f t="shared" si="15"/>
        <v>0</v>
      </c>
      <c r="K129" s="1681">
        <f t="shared" si="15"/>
        <v>1082723</v>
      </c>
      <c r="L129" s="1681">
        <f t="shared" si="15"/>
        <v>1079434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v>10750</v>
      </c>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10750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10750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363030</v>
      </c>
      <c r="D151" s="1674">
        <f t="shared" ref="D151:K151" si="16">SUM(D129,D130,D139,D149,D150)</f>
        <v>29906</v>
      </c>
      <c r="E151" s="1674">
        <f t="shared" si="16"/>
        <v>205583</v>
      </c>
      <c r="F151" s="1674">
        <f t="shared" si="16"/>
        <v>348886</v>
      </c>
      <c r="G151" s="1674">
        <f t="shared" si="16"/>
        <v>123807</v>
      </c>
      <c r="H151" s="1674">
        <f t="shared" si="16"/>
        <v>11511</v>
      </c>
      <c r="I151" s="1674">
        <f t="shared" si="16"/>
        <v>0</v>
      </c>
      <c r="J151" s="1674">
        <f t="shared" si="16"/>
        <v>0</v>
      </c>
      <c r="K151" s="1674">
        <f t="shared" si="16"/>
        <v>1082723</v>
      </c>
      <c r="L151" s="1674">
        <f>SUM(L129,L130,L139,L149,L150)</f>
        <v>1090184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-116646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372565</v>
      </c>
      <c r="I169" s="1673"/>
      <c r="J169" s="1673"/>
      <c r="K169" s="1672">
        <f>SUM(C169:H169)</f>
        <v>372565</v>
      </c>
      <c r="L169" s="1695">
        <v>110415</v>
      </c>
    </row>
    <row r="170" spans="1:14" ht="33.75" customHeight="1" x14ac:dyDescent="0.2">
      <c r="A170" s="543" t="s">
        <v>1651</v>
      </c>
      <c r="B170" s="545" t="s">
        <v>31</v>
      </c>
      <c r="C170" s="1673"/>
      <c r="D170" s="1673"/>
      <c r="E170" s="1673"/>
      <c r="F170" s="1673"/>
      <c r="G170" s="1673"/>
      <c r="H170" s="1646">
        <v>935000</v>
      </c>
      <c r="I170" s="1673"/>
      <c r="J170" s="1673"/>
      <c r="K170" s="1672">
        <f>SUM(C170:J170)</f>
        <v>935000</v>
      </c>
      <c r="L170" s="1646">
        <v>1197150</v>
      </c>
    </row>
    <row r="171" spans="1:14" ht="15.75" customHeight="1" x14ac:dyDescent="0.2">
      <c r="A171" s="507" t="s">
        <v>761</v>
      </c>
      <c r="B171" s="546" t="s">
        <v>84</v>
      </c>
      <c r="C171" s="1673"/>
      <c r="D171" s="1673"/>
      <c r="E171" s="1573"/>
      <c r="F171" s="1673"/>
      <c r="G171" s="1673"/>
      <c r="H171" s="1646">
        <v>1500</v>
      </c>
      <c r="I171" s="1582"/>
      <c r="J171" s="1673"/>
      <c r="K171" s="1672">
        <f>SUM(C171:J171)</f>
        <v>1500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1309065</v>
      </c>
      <c r="I172" s="1684"/>
      <c r="J172" s="1673"/>
      <c r="K172" s="1681">
        <f>SUM(K168,K169,K170,K171)</f>
        <v>1309065</v>
      </c>
      <c r="L172" s="1681">
        <f>SUM(L168,L169,L170,L171)</f>
        <v>1308565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1309065</v>
      </c>
      <c r="I174" s="1684"/>
      <c r="J174" s="1673"/>
      <c r="K174" s="1681">
        <f>SUM(K160,K172,K173)</f>
        <v>1309065</v>
      </c>
      <c r="L174" s="1681">
        <f>SUM(L160,L172,L173)</f>
        <v>1308565</v>
      </c>
    </row>
    <row r="175" spans="1:14" ht="13.5" thickTop="1" x14ac:dyDescent="0.2">
      <c r="A175" s="2289" t="s">
        <v>989</v>
      </c>
      <c r="B175" s="2290"/>
      <c r="C175" s="1673"/>
      <c r="D175" s="1673"/>
      <c r="E175" s="1673"/>
      <c r="F175" s="1673"/>
      <c r="G175" s="1673"/>
      <c r="H175" s="1675"/>
      <c r="I175" s="1673"/>
      <c r="J175" s="1673"/>
      <c r="K175" s="1689">
        <f>'Revenues 9-14'!E268-'Expenditures 15-22'!K174</f>
        <v>10533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318152</v>
      </c>
      <c r="D182" s="1573">
        <v>637</v>
      </c>
      <c r="E182" s="1573">
        <v>32945</v>
      </c>
      <c r="F182" s="1573">
        <v>63447</v>
      </c>
      <c r="G182" s="1573"/>
      <c r="H182" s="1573">
        <v>674</v>
      </c>
      <c r="I182" s="1574">
        <v>242580</v>
      </c>
      <c r="J182" s="1574"/>
      <c r="K182" s="1672">
        <f>SUM(C182:J182)</f>
        <v>658435</v>
      </c>
      <c r="L182" s="1573">
        <v>699585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318152</v>
      </c>
      <c r="D184" s="1681">
        <f t="shared" ref="D184:J184" si="17">SUM(D180,D182,D183)</f>
        <v>637</v>
      </c>
      <c r="E184" s="1681">
        <f t="shared" si="17"/>
        <v>32945</v>
      </c>
      <c r="F184" s="1681">
        <f t="shared" si="17"/>
        <v>63447</v>
      </c>
      <c r="G184" s="1681">
        <f t="shared" si="17"/>
        <v>0</v>
      </c>
      <c r="H184" s="1681">
        <f t="shared" si="17"/>
        <v>674</v>
      </c>
      <c r="I184" s="1681">
        <f t="shared" si="17"/>
        <v>242580</v>
      </c>
      <c r="J184" s="1681">
        <f t="shared" si="17"/>
        <v>0</v>
      </c>
      <c r="K184" s="1681">
        <f>SUM(K180,K182,K183)</f>
        <v>658435</v>
      </c>
      <c r="L184" s="1681">
        <f>SUM(L180, L182:L183)</f>
        <v>699585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318152</v>
      </c>
      <c r="D210" s="1674">
        <f>SUM(D184,D185)</f>
        <v>637</v>
      </c>
      <c r="E210" s="1674">
        <f>SUM(E184,E185,E196)</f>
        <v>32945</v>
      </c>
      <c r="F210" s="1674">
        <f>SUM(F184,F185)</f>
        <v>63447</v>
      </c>
      <c r="G210" s="1674">
        <f>SUM(G184,G185)</f>
        <v>0</v>
      </c>
      <c r="H210" s="1674">
        <f>SUM(H184,H185,H196,H208,H209)</f>
        <v>674</v>
      </c>
      <c r="I210" s="1674">
        <f>SUM(I184,I185)</f>
        <v>242580</v>
      </c>
      <c r="J210" s="1674">
        <f>SUM(J184,J185)</f>
        <v>0</v>
      </c>
      <c r="K210" s="1672">
        <f>SUM(K184,K185,K196,K208,K209)</f>
        <v>658435</v>
      </c>
      <c r="L210" s="1674">
        <f>SUM(L184,L185,L196,L208,L209)</f>
        <v>699585</v>
      </c>
    </row>
    <row r="211" spans="1:14" ht="13.5" thickTop="1" x14ac:dyDescent="0.2">
      <c r="A211" s="2289" t="s">
        <v>989</v>
      </c>
      <c r="B211" s="2290"/>
      <c r="C211" s="1675"/>
      <c r="D211" s="1675"/>
      <c r="E211" s="1675"/>
      <c r="F211" s="1675"/>
      <c r="G211" s="1675"/>
      <c r="H211" s="1675"/>
      <c r="I211" s="1673"/>
      <c r="J211" s="1673"/>
      <c r="K211" s="1689">
        <f>'Revenues 9-14'!F268-'Expenditures 15-22'!K210</f>
        <v>53846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57715</v>
      </c>
      <c r="E215" s="1673"/>
      <c r="F215" s="1673"/>
      <c r="G215" s="1673"/>
      <c r="H215" s="1673"/>
      <c r="I215" s="1673"/>
      <c r="J215" s="1673"/>
      <c r="K215" s="1672">
        <f>D215</f>
        <v>57715</v>
      </c>
      <c r="L215" s="1573">
        <v>58225</v>
      </c>
    </row>
    <row r="216" spans="1:14" x14ac:dyDescent="0.2">
      <c r="A216" s="1274" t="s">
        <v>162</v>
      </c>
      <c r="B216" s="503" t="s">
        <v>961</v>
      </c>
      <c r="C216" s="1673"/>
      <c r="D216" s="1574">
        <v>8441</v>
      </c>
      <c r="E216" s="1673"/>
      <c r="F216" s="1673"/>
      <c r="G216" s="1673"/>
      <c r="H216" s="1673"/>
      <c r="I216" s="1673"/>
      <c r="J216" s="1673"/>
      <c r="K216" s="1672">
        <f t="shared" ref="K216:K228" si="19">D216</f>
        <v>8441</v>
      </c>
      <c r="L216" s="1573">
        <v>8250</v>
      </c>
    </row>
    <row r="217" spans="1:14" x14ac:dyDescent="0.2">
      <c r="A217" s="1274" t="s">
        <v>163</v>
      </c>
      <c r="B217" s="503">
        <v>1200</v>
      </c>
      <c r="C217" s="1673"/>
      <c r="D217" s="1573">
        <v>10386</v>
      </c>
      <c r="E217" s="1673"/>
      <c r="F217" s="1673"/>
      <c r="G217" s="1673"/>
      <c r="H217" s="1673"/>
      <c r="I217" s="1673"/>
      <c r="J217" s="1673"/>
      <c r="K217" s="1672">
        <f t="shared" si="19"/>
        <v>10386</v>
      </c>
      <c r="L217" s="1573">
        <v>9050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5304</v>
      </c>
      <c r="E219" s="1673"/>
      <c r="F219" s="1673"/>
      <c r="G219" s="1673"/>
      <c r="H219" s="1673"/>
      <c r="I219" s="1673"/>
      <c r="J219" s="1673"/>
      <c r="K219" s="1672">
        <f t="shared" si="19"/>
        <v>5304</v>
      </c>
      <c r="L219" s="1573">
        <v>5360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192</v>
      </c>
      <c r="E222" s="1673"/>
      <c r="F222" s="1673"/>
      <c r="G222" s="1673"/>
      <c r="H222" s="1673"/>
      <c r="I222" s="1673"/>
      <c r="J222" s="1673"/>
      <c r="K222" s="1672">
        <f t="shared" si="19"/>
        <v>192</v>
      </c>
      <c r="L222" s="1573"/>
    </row>
    <row r="223" spans="1:14" x14ac:dyDescent="0.2">
      <c r="A223" s="1274" t="s">
        <v>957</v>
      </c>
      <c r="B223" s="503">
        <v>1500</v>
      </c>
      <c r="C223" s="1673"/>
      <c r="D223" s="1573">
        <v>5917</v>
      </c>
      <c r="E223" s="1673"/>
      <c r="F223" s="1673"/>
      <c r="G223" s="1673"/>
      <c r="H223" s="1673"/>
      <c r="I223" s="1673"/>
      <c r="J223" s="1673"/>
      <c r="K223" s="1672">
        <f t="shared" si="19"/>
        <v>5917</v>
      </c>
      <c r="L223" s="1573">
        <v>5300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v>572</v>
      </c>
      <c r="E228" s="1673"/>
      <c r="F228" s="1673"/>
      <c r="G228" s="1673"/>
      <c r="H228" s="1673"/>
      <c r="I228" s="1673"/>
      <c r="J228" s="1673"/>
      <c r="K228" s="1672">
        <f t="shared" si="19"/>
        <v>572</v>
      </c>
      <c r="L228" s="1573">
        <v>550</v>
      </c>
    </row>
    <row r="229" spans="1:12" ht="12.75" customHeight="1" thickBot="1" x14ac:dyDescent="0.25">
      <c r="A229" s="1380" t="s">
        <v>710</v>
      </c>
      <c r="B229" s="1383" t="s">
        <v>566</v>
      </c>
      <c r="C229" s="1673"/>
      <c r="D229" s="1674">
        <f>SUM(D215:D228)</f>
        <v>88527</v>
      </c>
      <c r="E229" s="1673"/>
      <c r="F229" s="1673"/>
      <c r="G229" s="1673"/>
      <c r="H229" s="1673"/>
      <c r="I229" s="1673"/>
      <c r="J229" s="1673"/>
      <c r="K229" s="1674">
        <f>SUM(K215:K228)</f>
        <v>88527</v>
      </c>
      <c r="L229" s="1674">
        <f>SUM(L215:L228)</f>
        <v>86735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1135</v>
      </c>
      <c r="E233" s="1673"/>
      <c r="F233" s="1673"/>
      <c r="G233" s="1673"/>
      <c r="H233" s="1673"/>
      <c r="I233" s="1673"/>
      <c r="J233" s="1673"/>
      <c r="K233" s="1672">
        <f t="shared" si="20"/>
        <v>1135</v>
      </c>
      <c r="L233" s="1573">
        <v>1200</v>
      </c>
    </row>
    <row r="234" spans="1:12" x14ac:dyDescent="0.2">
      <c r="A234" s="1274" t="s">
        <v>196</v>
      </c>
      <c r="B234" s="503">
        <v>2130</v>
      </c>
      <c r="C234" s="1673"/>
      <c r="D234" s="1573">
        <v>4903</v>
      </c>
      <c r="E234" s="1673"/>
      <c r="F234" s="1673"/>
      <c r="G234" s="1673"/>
      <c r="H234" s="1673"/>
      <c r="I234" s="1673"/>
      <c r="J234" s="1673"/>
      <c r="K234" s="1672">
        <f t="shared" si="20"/>
        <v>4903</v>
      </c>
      <c r="L234" s="1573">
        <v>5225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v>2690</v>
      </c>
    </row>
    <row r="238" spans="1:12" ht="12.75" customHeight="1" thickBot="1" x14ac:dyDescent="0.25">
      <c r="A238" s="1380" t="s">
        <v>556</v>
      </c>
      <c r="B238" s="1383" t="s">
        <v>711</v>
      </c>
      <c r="C238" s="1673"/>
      <c r="D238" s="1674">
        <f>SUM(D232:D237)</f>
        <v>6038</v>
      </c>
      <c r="E238" s="1673"/>
      <c r="F238" s="1673"/>
      <c r="G238" s="1673"/>
      <c r="H238" s="1673"/>
      <c r="I238" s="1673"/>
      <c r="J238" s="1673"/>
      <c r="K238" s="1674">
        <f>SUM(K232:K237)</f>
        <v>6038</v>
      </c>
      <c r="L238" s="1674">
        <f>SUM(L232:L237)</f>
        <v>9115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4216</v>
      </c>
      <c r="E241" s="1673"/>
      <c r="F241" s="1673"/>
      <c r="G241" s="1673"/>
      <c r="H241" s="1673"/>
      <c r="I241" s="1673"/>
      <c r="J241" s="1673"/>
      <c r="K241" s="1678">
        <f>D241</f>
        <v>4216</v>
      </c>
      <c r="L241" s="1573">
        <v>4300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4216</v>
      </c>
      <c r="E243" s="1673"/>
      <c r="F243" s="1673"/>
      <c r="G243" s="1673"/>
      <c r="H243" s="1673"/>
      <c r="I243" s="1673"/>
      <c r="J243" s="1673"/>
      <c r="K243" s="1674">
        <f>SUM(K240:K242)</f>
        <v>4216</v>
      </c>
      <c r="L243" s="1674">
        <f>SUM(L240:L242)</f>
        <v>4300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324</v>
      </c>
      <c r="E245" s="1673"/>
      <c r="F245" s="1673"/>
      <c r="G245" s="1673"/>
      <c r="H245" s="1673"/>
      <c r="I245" s="1673"/>
      <c r="J245" s="1673"/>
      <c r="K245" s="1678">
        <f>D245</f>
        <v>324</v>
      </c>
      <c r="L245" s="1586">
        <v>365</v>
      </c>
    </row>
    <row r="246" spans="1:12" x14ac:dyDescent="0.2">
      <c r="A246" s="1274" t="s">
        <v>813</v>
      </c>
      <c r="B246" s="503">
        <v>2320</v>
      </c>
      <c r="C246" s="1673"/>
      <c r="D246" s="1573">
        <v>2242</v>
      </c>
      <c r="E246" s="1673"/>
      <c r="F246" s="1673"/>
      <c r="G246" s="1673"/>
      <c r="H246" s="1673"/>
      <c r="I246" s="1673"/>
      <c r="J246" s="1673"/>
      <c r="K246" s="1678">
        <f t="shared" ref="K246:K256" si="21">D246</f>
        <v>2242</v>
      </c>
      <c r="L246" s="1573">
        <v>2250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2566</v>
      </c>
      <c r="E257" s="1673"/>
      <c r="F257" s="1673"/>
      <c r="G257" s="1673"/>
      <c r="H257" s="1673"/>
      <c r="I257" s="1673"/>
      <c r="J257" s="1673"/>
      <c r="K257" s="1674">
        <f>SUM(K245:K256)</f>
        <v>2566</v>
      </c>
      <c r="L257" s="1674">
        <f>SUM(L245:L256)</f>
        <v>2615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26884</v>
      </c>
      <c r="E259" s="1673"/>
      <c r="F259" s="1673"/>
      <c r="G259" s="1673"/>
      <c r="H259" s="1673"/>
      <c r="I259" s="1673"/>
      <c r="J259" s="1673"/>
      <c r="K259" s="1678">
        <f>D259</f>
        <v>26884</v>
      </c>
      <c r="L259" s="1586">
        <v>27400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26884</v>
      </c>
      <c r="E261" s="1673"/>
      <c r="F261" s="1673"/>
      <c r="G261" s="1673"/>
      <c r="H261" s="1673"/>
      <c r="I261" s="1673"/>
      <c r="J261" s="1673"/>
      <c r="K261" s="1674">
        <f>SUM(K259:K260)</f>
        <v>26884</v>
      </c>
      <c r="L261" s="1674">
        <f>SUM(L259:L260)</f>
        <v>27400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10860</v>
      </c>
      <c r="E264" s="1673"/>
      <c r="F264" s="1673"/>
      <c r="G264" s="1673"/>
      <c r="H264" s="1673"/>
      <c r="I264" s="1673"/>
      <c r="J264" s="1673"/>
      <c r="K264" s="1678">
        <f t="shared" ref="K264:K269" si="22">D264</f>
        <v>10860</v>
      </c>
      <c r="L264" s="1573">
        <v>11100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48602</v>
      </c>
      <c r="E266" s="1673"/>
      <c r="F266" s="1673"/>
      <c r="G266" s="1673"/>
      <c r="H266" s="1673"/>
      <c r="I266" s="1673"/>
      <c r="J266" s="1673"/>
      <c r="K266" s="1678">
        <f t="shared" si="22"/>
        <v>48602</v>
      </c>
      <c r="L266" s="1573">
        <v>44000</v>
      </c>
    </row>
    <row r="267" spans="1:14" x14ac:dyDescent="0.2">
      <c r="A267" s="1274" t="s">
        <v>947</v>
      </c>
      <c r="B267" s="503">
        <v>2550</v>
      </c>
      <c r="C267" s="1673"/>
      <c r="D267" s="1573">
        <v>31535</v>
      </c>
      <c r="E267" s="1673"/>
      <c r="F267" s="1673"/>
      <c r="G267" s="1673"/>
      <c r="H267" s="1673"/>
      <c r="I267" s="1673"/>
      <c r="J267" s="1673"/>
      <c r="K267" s="1678">
        <f t="shared" si="22"/>
        <v>31535</v>
      </c>
      <c r="L267" s="1573">
        <v>31940</v>
      </c>
    </row>
    <row r="268" spans="1:14" x14ac:dyDescent="0.2">
      <c r="A268" s="1274" t="s">
        <v>100</v>
      </c>
      <c r="B268" s="503">
        <v>2560</v>
      </c>
      <c r="C268" s="1673"/>
      <c r="D268" s="1573">
        <v>9800</v>
      </c>
      <c r="E268" s="1673"/>
      <c r="F268" s="1673"/>
      <c r="G268" s="1673"/>
      <c r="H268" s="1673"/>
      <c r="I268" s="1673"/>
      <c r="J268" s="1673"/>
      <c r="K268" s="1678">
        <f t="shared" si="22"/>
        <v>9800</v>
      </c>
      <c r="L268" s="1573">
        <v>9000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100797</v>
      </c>
      <c r="E270" s="1673"/>
      <c r="F270" s="1673"/>
      <c r="G270" s="1673"/>
      <c r="H270" s="1673"/>
      <c r="I270" s="1673"/>
      <c r="J270" s="1673"/>
      <c r="K270" s="1674">
        <f>SUM(K263:K269)</f>
        <v>100797</v>
      </c>
      <c r="L270" s="1674">
        <f>SUM(L263:L269)</f>
        <v>96040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140501</v>
      </c>
      <c r="E279" s="1673"/>
      <c r="F279" s="1673"/>
      <c r="G279" s="1673"/>
      <c r="H279" s="1673"/>
      <c r="I279" s="1673"/>
      <c r="J279" s="1673"/>
      <c r="K279" s="1681">
        <f>SUM(K238,K243,K257,K261,K270,K277,K278)</f>
        <v>140501</v>
      </c>
      <c r="L279" s="1681">
        <f>SUM(L238,L243,L257,L261,L270,L277,L278)</f>
        <v>139470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v>27682</v>
      </c>
      <c r="E283" s="1673"/>
      <c r="F283" s="1673"/>
      <c r="G283" s="1673"/>
      <c r="H283" s="1673"/>
      <c r="I283" s="1673"/>
      <c r="J283" s="1673"/>
      <c r="K283" s="1672">
        <f>D283</f>
        <v>27682</v>
      </c>
      <c r="L283" s="1573">
        <v>27682</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27682</v>
      </c>
      <c r="E285" s="1673"/>
      <c r="F285" s="1673"/>
      <c r="G285" s="1673"/>
      <c r="H285" s="1673"/>
      <c r="I285" s="1673"/>
      <c r="J285" s="1673"/>
      <c r="K285" s="1674">
        <f>SUM(K282:K284)</f>
        <v>27682</v>
      </c>
      <c r="L285" s="1674">
        <f>SUM(L282:L284)</f>
        <v>27682</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256710</v>
      </c>
      <c r="E295" s="1673"/>
      <c r="F295" s="1673"/>
      <c r="G295" s="1673"/>
      <c r="H295" s="1674">
        <f>H293</f>
        <v>0</v>
      </c>
      <c r="I295" s="1673"/>
      <c r="J295" s="1673"/>
      <c r="K295" s="1674">
        <f>SUM(K229,K279,K280,K285,K293,K294)</f>
        <v>256710</v>
      </c>
      <c r="L295" s="1674">
        <f>SUM(L229,L279,L280,L285,L293,L294)</f>
        <v>253887</v>
      </c>
    </row>
    <row r="296" spans="1:14" ht="13.5" thickTop="1" x14ac:dyDescent="0.2">
      <c r="A296" s="2289" t="s">
        <v>989</v>
      </c>
      <c r="B296" s="2290"/>
      <c r="C296" s="1673"/>
      <c r="D296" s="1675"/>
      <c r="E296" s="1673"/>
      <c r="F296" s="1673"/>
      <c r="G296" s="1673"/>
      <c r="H296" s="1707"/>
      <c r="I296" s="1673"/>
      <c r="J296" s="1673"/>
      <c r="K296" s="1689">
        <f>'Revenues 9-14'!G268-'Expenditures 15-22'!K295</f>
        <v>35249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22885</v>
      </c>
      <c r="F301" s="1573">
        <v>187</v>
      </c>
      <c r="G301" s="1573">
        <v>431688</v>
      </c>
      <c r="H301" s="1573"/>
      <c r="I301" s="1574"/>
      <c r="J301" s="1574"/>
      <c r="K301" s="1672">
        <f>SUM(C301:J301)</f>
        <v>454760</v>
      </c>
      <c r="L301" s="1574">
        <v>415000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22885</v>
      </c>
      <c r="F303" s="1681">
        <f t="shared" si="23"/>
        <v>187</v>
      </c>
      <c r="G303" s="1681">
        <f t="shared" si="23"/>
        <v>431688</v>
      </c>
      <c r="H303" s="1681">
        <f t="shared" si="23"/>
        <v>0</v>
      </c>
      <c r="I303" s="1681">
        <f t="shared" si="23"/>
        <v>0</v>
      </c>
      <c r="J303" s="1681">
        <f t="shared" si="23"/>
        <v>0</v>
      </c>
      <c r="K303" s="1681">
        <f t="shared" si="23"/>
        <v>454760</v>
      </c>
      <c r="L303" s="1681">
        <f t="shared" si="23"/>
        <v>415000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22885</v>
      </c>
      <c r="F312" s="1674">
        <f>SUM(F303)</f>
        <v>187</v>
      </c>
      <c r="G312" s="1674">
        <f>SUM(G303)</f>
        <v>431688</v>
      </c>
      <c r="H312" s="1674">
        <f>SUM(H303,H310)</f>
        <v>0</v>
      </c>
      <c r="I312" s="1674">
        <f>SUM(I303)</f>
        <v>0</v>
      </c>
      <c r="J312" s="1674">
        <f>SUM(J303)</f>
        <v>0</v>
      </c>
      <c r="K312" s="1674">
        <f>SUM(K303,K310,K311)</f>
        <v>454760</v>
      </c>
      <c r="L312" s="1674">
        <f>SUM(L303,L310,L311)</f>
        <v>415000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-377045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1158</v>
      </c>
      <c r="F321" s="1574"/>
      <c r="G321" s="1574"/>
      <c r="H321" s="1574"/>
      <c r="I321" s="1574"/>
      <c r="J321" s="1574"/>
      <c r="K321" s="1672">
        <f t="shared" si="24"/>
        <v>1158</v>
      </c>
      <c r="L321" s="1574">
        <v>1500</v>
      </c>
      <c r="M321" s="539"/>
      <c r="N321" s="539"/>
    </row>
    <row r="322" spans="1:14" s="548" customFormat="1" x14ac:dyDescent="0.2">
      <c r="A322" s="1289" t="s">
        <v>236</v>
      </c>
      <c r="B322" s="567" t="s">
        <v>282</v>
      </c>
      <c r="C322" s="1574"/>
      <c r="D322" s="1574"/>
      <c r="E322" s="1574">
        <v>174813</v>
      </c>
      <c r="F322" s="1574"/>
      <c r="G322" s="1574"/>
      <c r="H322" s="1574"/>
      <c r="I322" s="1574"/>
      <c r="J322" s="1574"/>
      <c r="K322" s="1672">
        <f t="shared" si="24"/>
        <v>174813</v>
      </c>
      <c r="L322" s="1574">
        <v>180000</v>
      </c>
      <c r="M322" s="539"/>
      <c r="N322" s="539"/>
    </row>
    <row r="323" spans="1:14" s="548" customFormat="1" x14ac:dyDescent="0.2">
      <c r="A323" s="1289" t="s">
        <v>697</v>
      </c>
      <c r="B323" s="567" t="s">
        <v>283</v>
      </c>
      <c r="C323" s="1574">
        <v>44653</v>
      </c>
      <c r="D323" s="1574"/>
      <c r="E323" s="1574">
        <v>4875</v>
      </c>
      <c r="F323" s="1574"/>
      <c r="G323" s="1574"/>
      <c r="H323" s="1574"/>
      <c r="I323" s="1574"/>
      <c r="J323" s="1574"/>
      <c r="K323" s="1672">
        <f t="shared" si="24"/>
        <v>49528</v>
      </c>
      <c r="L323" s="1574">
        <v>51553</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37282</v>
      </c>
      <c r="F325" s="1574">
        <v>3109</v>
      </c>
      <c r="G325" s="1574"/>
      <c r="H325" s="1574"/>
      <c r="I325" s="1574"/>
      <c r="J325" s="1574"/>
      <c r="K325" s="1672">
        <f t="shared" si="24"/>
        <v>40391</v>
      </c>
      <c r="L325" s="1574">
        <v>39200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5723</v>
      </c>
      <c r="F327" s="1574"/>
      <c r="G327" s="1574"/>
      <c r="H327" s="1574"/>
      <c r="I327" s="1574"/>
      <c r="J327" s="1574"/>
      <c r="K327" s="1672">
        <f t="shared" si="24"/>
        <v>5723</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44653</v>
      </c>
      <c r="D330" s="1674">
        <f t="shared" ref="D330:J330" si="25">SUM(D319:D329)</f>
        <v>0</v>
      </c>
      <c r="E330" s="1674">
        <f t="shared" si="25"/>
        <v>223851</v>
      </c>
      <c r="F330" s="1674">
        <f t="shared" si="25"/>
        <v>3109</v>
      </c>
      <c r="G330" s="1674">
        <f t="shared" si="25"/>
        <v>0</v>
      </c>
      <c r="H330" s="1674">
        <f t="shared" si="25"/>
        <v>0</v>
      </c>
      <c r="I330" s="1674">
        <f t="shared" si="25"/>
        <v>0</v>
      </c>
      <c r="J330" s="1674">
        <f t="shared" si="25"/>
        <v>0</v>
      </c>
      <c r="K330" s="1674">
        <f>SUM(K319:K329)</f>
        <v>271613</v>
      </c>
      <c r="L330" s="1674">
        <f>SUM(L319:L329)</f>
        <v>272253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44653</v>
      </c>
      <c r="D342" s="1674">
        <f>SUM(D330)</f>
        <v>0</v>
      </c>
      <c r="E342" s="1674">
        <f>SUM(E330)</f>
        <v>223851</v>
      </c>
      <c r="F342" s="1674">
        <f>SUM(F330)</f>
        <v>3109</v>
      </c>
      <c r="G342" s="1674">
        <f>SUM(G330)</f>
        <v>0</v>
      </c>
      <c r="H342" s="1674">
        <f>SUM(H330,H334,H340)</f>
        <v>0</v>
      </c>
      <c r="I342" s="1674">
        <f>SUM(I330)</f>
        <v>0</v>
      </c>
      <c r="J342" s="1674">
        <f>SUM(J330)</f>
        <v>0</v>
      </c>
      <c r="K342" s="1674">
        <f>SUM(K330,K334,K340)</f>
        <v>271613</v>
      </c>
      <c r="L342" s="1681">
        <f>SUM(L330,L334,L340,L341)</f>
        <v>272253</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45391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6594</v>
      </c>
      <c r="F348" s="1573">
        <v>1651</v>
      </c>
      <c r="G348" s="1573">
        <v>18012</v>
      </c>
      <c r="H348" s="1573"/>
      <c r="I348" s="1574"/>
      <c r="J348" s="1574"/>
      <c r="K348" s="1672">
        <f>SUM(C348:J348)</f>
        <v>26257</v>
      </c>
      <c r="L348" s="1573">
        <v>62000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6594</v>
      </c>
      <c r="F350" s="1674">
        <f t="shared" si="26"/>
        <v>1651</v>
      </c>
      <c r="G350" s="1674">
        <f t="shared" si="26"/>
        <v>18012</v>
      </c>
      <c r="H350" s="1674">
        <f t="shared" si="26"/>
        <v>0</v>
      </c>
      <c r="I350" s="1674">
        <f t="shared" si="26"/>
        <v>0</v>
      </c>
      <c r="J350" s="1674">
        <f t="shared" si="26"/>
        <v>0</v>
      </c>
      <c r="K350" s="1674">
        <f t="shared" si="26"/>
        <v>26257</v>
      </c>
      <c r="L350" s="1674">
        <f t="shared" si="26"/>
        <v>62000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6594</v>
      </c>
      <c r="F352" s="1674">
        <f t="shared" si="27"/>
        <v>1651</v>
      </c>
      <c r="G352" s="1674">
        <f t="shared" si="27"/>
        <v>18012</v>
      </c>
      <c r="H352" s="1674">
        <f t="shared" si="27"/>
        <v>0</v>
      </c>
      <c r="I352" s="1674">
        <f t="shared" si="27"/>
        <v>0</v>
      </c>
      <c r="J352" s="1674">
        <f t="shared" si="27"/>
        <v>0</v>
      </c>
      <c r="K352" s="1674">
        <f t="shared" si="27"/>
        <v>26257</v>
      </c>
      <c r="L352" s="1674">
        <f t="shared" si="27"/>
        <v>62000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6594</v>
      </c>
      <c r="F367" s="1674">
        <f t="shared" si="28"/>
        <v>1651</v>
      </c>
      <c r="G367" s="1674">
        <f t="shared" si="28"/>
        <v>18012</v>
      </c>
      <c r="H367" s="1674">
        <f t="shared" si="28"/>
        <v>0</v>
      </c>
      <c r="I367" s="1674">
        <f t="shared" si="28"/>
        <v>0</v>
      </c>
      <c r="J367" s="1674">
        <f t="shared" si="28"/>
        <v>0</v>
      </c>
      <c r="K367" s="1674">
        <f t="shared" si="28"/>
        <v>26257</v>
      </c>
      <c r="L367" s="1674">
        <f t="shared" si="28"/>
        <v>62000</v>
      </c>
    </row>
    <row r="368" spans="1:14" ht="13.5" thickTop="1" x14ac:dyDescent="0.2">
      <c r="A368" s="2289" t="s">
        <v>989</v>
      </c>
      <c r="B368" s="2290"/>
      <c r="C368" s="1694"/>
      <c r="D368" s="1694"/>
      <c r="E368" s="1677"/>
      <c r="F368" s="1677"/>
      <c r="G368" s="1677"/>
      <c r="H368" s="1677"/>
      <c r="I368" s="1677"/>
      <c r="J368" s="1676"/>
      <c r="K368" s="1672">
        <f>'Revenues 9-14'!K268-'Expenditures 15-22'!K367</f>
        <v>41193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6ce3111e-7420-4802-b50a-75d4e9a0b980"/>
    <ds:schemaRef ds:uri="d21dc803-237d-4c68-8692-8d731fd29118"/>
    <ds:schemaRef ds:uri="http://purl.org/dc/terms/"/>
    <ds:schemaRef ds:uri="http://schemas.microsoft.com/office/infopath/2007/PartnerControls"/>
    <ds:schemaRef ds:uri="4d435f69-8686-490b-bd6d-b153bf22ab50"/>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Sheet1</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2020-08-31T15:03:29Z</cp:lastPrinted>
  <dcterms:created xsi:type="dcterms:W3CDTF">2003-10-29T19:06:34Z</dcterms:created>
  <dcterms:modified xsi:type="dcterms:W3CDTF">2020-10-09T12:34:10Z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