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71DFBC5-F563-40B8-8CB3-199B3108FF2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6" r:id="rId31"/>
    <sheet name="SF&amp;QC Sec-2" sheetId="175" r:id="rId32"/>
    <sheet name="SF&amp;QC Sec-3" sheetId="176" r:id="rId33"/>
    <sheet name="SSPAF" sheetId="177" r:id="rId34"/>
    <sheet name="CAP 2020-001" sheetId="187" r:id="rId35"/>
  </sheets>
  <definedNames>
    <definedName name="_xlnm._FilterDatabase" localSheetId="23" hidden="1">'AFR20'!$A$1:$F$7884</definedName>
    <definedName name="goof">#REF!</definedName>
    <definedName name="oops">#REF!</definedName>
    <definedName name="pass" localSheetId="34">#REF!</definedName>
    <definedName name="pass" localSheetId="30">#REF!</definedName>
    <definedName name="pass">#REF!</definedName>
    <definedName name="pass1" localSheetId="34">#REF!</definedName>
    <definedName name="pass1" localSheetId="30">#REF!</definedName>
    <definedName name="pass1">#REF!</definedName>
    <definedName name="pass2" localSheetId="34">#REF!</definedName>
    <definedName name="pass2" localSheetId="30">#REF!</definedName>
    <definedName name="pass2">#REF!</definedName>
    <definedName name="pass3" localSheetId="34">#REF!</definedName>
    <definedName name="pass3" localSheetId="30">#REF!</definedName>
    <definedName name="pass3">#REF!</definedName>
    <definedName name="pass4" localSheetId="34">#REF!</definedName>
    <definedName name="pass4" localSheetId="30">#REF!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J33" i="8" l="1"/>
  <c r="B4" i="18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B7812" i="106" l="1"/>
  <c r="B7810" i="106"/>
  <c r="B7809" i="106"/>
  <c r="B7816" i="106" l="1"/>
  <c r="D7816" i="106" s="1"/>
  <c r="B7814" i="106"/>
  <c r="D7814" i="106" s="1"/>
  <c r="B7813" i="106"/>
  <c r="D7813" i="106" s="1"/>
  <c r="D7812" i="106"/>
  <c r="D7810" i="106"/>
  <c r="D7809" i="106"/>
  <c r="B7808" i="106"/>
  <c r="D7808" i="106" s="1"/>
  <c r="B7807" i="106"/>
  <c r="D7807" i="106" s="1"/>
  <c r="B7806" i="106"/>
  <c r="D7806" i="106" s="1"/>
  <c r="B7805" i="106"/>
  <c r="D7805" i="106" s="1"/>
  <c r="B7802" i="106"/>
  <c r="D7802" i="106" s="1"/>
  <c r="B7801" i="106"/>
  <c r="D7801" i="106" s="1"/>
  <c r="B5196" i="106"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B7795" i="106"/>
  <c r="K133" i="29"/>
  <c r="B7776" i="106" s="1"/>
  <c r="B7793" i="106"/>
  <c r="B7791" i="106"/>
  <c r="B7787" i="106"/>
  <c r="B7785" i="106"/>
  <c r="B7783" i="106"/>
  <c r="B7775" i="106"/>
  <c r="B7774" i="106"/>
  <c r="K334" i="29" l="1"/>
  <c r="F74" i="34" s="1"/>
  <c r="K357" i="29"/>
  <c r="B3674" i="106" s="1"/>
  <c r="B7792" i="106"/>
  <c r="K15" i="4" l="1"/>
  <c r="B7790" i="106"/>
  <c r="J15" i="4"/>
  <c r="B7796" i="106" s="1"/>
  <c r="L357" i="29"/>
  <c r="L285" i="29" l="1"/>
  <c r="D285" i="29"/>
  <c r="L137" i="29"/>
  <c r="H137" i="29"/>
  <c r="E137" i="29"/>
  <c r="E139" i="29" s="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6" s="1"/>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69" i="106" l="1"/>
  <c r="D7769" i="106" s="1"/>
  <c r="B7766" i="106"/>
  <c r="D7766" i="106" s="1"/>
  <c r="B7765" i="106"/>
  <c r="D7765"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D14" i="4" s="1"/>
  <c r="B2570" i="106" s="1"/>
  <c r="D2570"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D2610" i="106"/>
  <c r="B2614" i="106"/>
  <c r="D2614" i="106" s="1"/>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D2761" i="106"/>
  <c r="D2764" i="106"/>
  <c r="D2765" i="106"/>
  <c r="B2766" i="106"/>
  <c r="D2766" i="106" s="1"/>
  <c r="D2767" i="106"/>
  <c r="D2768" i="106"/>
  <c r="B2769" i="106"/>
  <c r="D2769" i="106" s="1"/>
  <c r="D2770" i="106"/>
  <c r="D2771"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D2814" i="106"/>
  <c r="D2815" i="106"/>
  <c r="D2816" i="106"/>
  <c r="D2833" i="106"/>
  <c r="D2834" i="106"/>
  <c r="D2835" i="106"/>
  <c r="D2838" i="106"/>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B3422" i="106"/>
  <c r="D3422" i="106" s="1"/>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D4212" i="106"/>
  <c r="D4213" i="106"/>
  <c r="D4214"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2" i="106"/>
  <c r="D4312" i="106" s="1"/>
  <c r="B4313" i="106"/>
  <c r="D4313" i="106" s="1"/>
  <c r="B4314" i="106"/>
  <c r="D4314" i="106" s="1"/>
  <c r="B4315" i="106"/>
  <c r="D4315" i="106" s="1"/>
  <c r="B4317" i="106"/>
  <c r="D4317" i="106" s="1"/>
  <c r="D4319" i="106"/>
  <c r="D4320" i="106"/>
  <c r="B4321" i="106"/>
  <c r="D4321"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5" i="106"/>
  <c r="D4335" i="106" s="1"/>
  <c r="B4336" i="106"/>
  <c r="D4336" i="106" s="1"/>
  <c r="B4337" i="106"/>
  <c r="D4337" i="106" s="1"/>
  <c r="B4339" i="106"/>
  <c r="D4339" i="106" s="1"/>
  <c r="B4340" i="106"/>
  <c r="D4340" i="106" s="1"/>
  <c r="B4341" i="106"/>
  <c r="D4341"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5" i="106"/>
  <c r="D4355" i="106" s="1"/>
  <c r="B4356" i="106"/>
  <c r="D4356" i="106" s="1"/>
  <c r="B4358" i="106"/>
  <c r="D4358" i="106" s="1"/>
  <c r="B4359" i="106"/>
  <c r="D4359" i="106" s="1"/>
  <c r="B4361" i="106"/>
  <c r="D4361" i="106" s="1"/>
  <c r="B4362" i="106"/>
  <c r="D4362" i="106" s="1"/>
  <c r="B4365" i="106"/>
  <c r="D4365" i="106" s="1"/>
  <c r="B4366" i="106"/>
  <c r="D4366" i="106" s="1"/>
  <c r="D4367" i="106"/>
  <c r="B4368" i="106"/>
  <c r="D4368" i="106" s="1"/>
  <c r="B4370" i="106"/>
  <c r="D4370" i="106" s="1"/>
  <c r="D4371" i="106"/>
  <c r="D4374" i="106"/>
  <c r="B4375" i="106"/>
  <c r="D4375" i="106" s="1"/>
  <c r="B4376" i="106"/>
  <c r="D4376" i="106" s="1"/>
  <c r="B4378" i="106"/>
  <c r="D4378" i="106" s="1"/>
  <c r="B4379" i="106"/>
  <c r="D4379" i="106" s="1"/>
  <c r="B4380" i="106"/>
  <c r="D4380" i="106" s="1"/>
  <c r="B4382" i="106"/>
  <c r="D4382" i="106" s="1"/>
  <c r="D4383" i="106"/>
  <c r="D4384" i="106"/>
  <c r="D4385" i="106"/>
  <c r="D4386" i="106"/>
  <c r="D4387" i="106"/>
  <c r="D4388" i="106"/>
  <c r="D4389" i="106"/>
  <c r="D4390" i="106"/>
  <c r="B4391" i="106"/>
  <c r="D4391" i="106" s="1"/>
  <c r="B4392" i="106"/>
  <c r="D4392" i="106" s="1"/>
  <c r="B4394" i="106"/>
  <c r="D4394" i="106" s="1"/>
  <c r="D4399" i="106"/>
  <c r="D4400" i="106"/>
  <c r="D4401" i="106"/>
  <c r="D4402" i="106"/>
  <c r="D4403" i="106"/>
  <c r="D4404" i="106"/>
  <c r="D4405" i="106"/>
  <c r="D4406" i="106"/>
  <c r="B4407" i="106"/>
  <c r="D4407" i="106" s="1"/>
  <c r="B4408" i="106"/>
  <c r="D4408" i="106" s="1"/>
  <c r="B4410" i="106"/>
  <c r="D4410" i="106" s="1"/>
  <c r="B4415" i="106"/>
  <c r="D4415" i="106" s="1"/>
  <c r="B4417" i="106"/>
  <c r="D4417" i="106" s="1"/>
  <c r="B4418" i="106"/>
  <c r="D4418" i="106" s="1"/>
  <c r="B4419" i="106"/>
  <c r="D4419"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6" i="106"/>
  <c r="D4796" i="106" s="1"/>
  <c r="B4797" i="106"/>
  <c r="D4797" i="106" s="1"/>
  <c r="D4798" i="106"/>
  <c r="B4799" i="106"/>
  <c r="D4799" i="106" s="1"/>
  <c r="D4800" i="106"/>
  <c r="B4801" i="106"/>
  <c r="D4801" i="106" s="1"/>
  <c r="B4802" i="106"/>
  <c r="D4802" i="106" s="1"/>
  <c r="D4803" i="106"/>
  <c r="B4805" i="106"/>
  <c r="D4805" i="106" s="1"/>
  <c r="B4806" i="106"/>
  <c r="D4806" i="106" s="1"/>
  <c r="D4807" i="106"/>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D5015" i="106"/>
  <c r="D5016" i="106"/>
  <c r="D5017" i="106"/>
  <c r="D5018" i="106"/>
  <c r="D5019" i="106"/>
  <c r="D5020" i="106"/>
  <c r="D5021" i="106"/>
  <c r="B5022" i="106"/>
  <c r="D5022" i="106" s="1"/>
  <c r="B5023" i="106"/>
  <c r="D5023" i="106" s="1"/>
  <c r="D5025" i="106"/>
  <c r="B5026" i="106"/>
  <c r="D5026"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5" i="106"/>
  <c r="D6085" i="106" s="1"/>
  <c r="B6086" i="106"/>
  <c r="D6086" i="106" s="1"/>
  <c r="B6088" i="106"/>
  <c r="D6088" i="106" s="1"/>
  <c r="B6089" i="106"/>
  <c r="D6089" i="106" s="1"/>
  <c r="B6090" i="106"/>
  <c r="D6090" i="106" s="1"/>
  <c r="B6091" i="106"/>
  <c r="D6091" i="106" s="1"/>
  <c r="B6092" i="106"/>
  <c r="D6092" i="106" s="1"/>
  <c r="B6094" i="106"/>
  <c r="D6094" i="106" s="1"/>
  <c r="B6095" i="106"/>
  <c r="D6095" i="106" s="1"/>
  <c r="B6096" i="106"/>
  <c r="D6096" i="106" s="1"/>
  <c r="B6097" i="106"/>
  <c r="D6097" i="106" s="1"/>
  <c r="B6098" i="106"/>
  <c r="D6098" i="106" s="1"/>
  <c r="B6099" i="106"/>
  <c r="D6099" i="106" s="1"/>
  <c r="B6100" i="106"/>
  <c r="D6100" i="106" s="1"/>
  <c r="A6103" i="106"/>
  <c r="B6103" i="106"/>
  <c r="B6104" i="106"/>
  <c r="D6104"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7" i="106"/>
  <c r="D6117" i="106" s="1"/>
  <c r="B6118" i="106"/>
  <c r="D6118" i="106" s="1"/>
  <c r="B6120" i="106"/>
  <c r="D6120" i="106" s="1"/>
  <c r="B6121" i="106"/>
  <c r="D6121" i="106" s="1"/>
  <c r="B6122" i="106"/>
  <c r="D6122" i="106" s="1"/>
  <c r="B6123" i="106"/>
  <c r="D6123" i="106" s="1"/>
  <c r="J13" i="3"/>
  <c r="B6124" i="106" s="1"/>
  <c r="D6124" i="106" s="1"/>
  <c r="B6125" i="106"/>
  <c r="D6125" i="106" s="1"/>
  <c r="B6126" i="106"/>
  <c r="D6126" i="106" s="1"/>
  <c r="B6129" i="106"/>
  <c r="D6129" i="106" s="1"/>
  <c r="B6130" i="106"/>
  <c r="D6130" i="106" s="1"/>
  <c r="B6131" i="106"/>
  <c r="D6131" i="106" s="1"/>
  <c r="B6132" i="106"/>
  <c r="D6132" i="106" s="1"/>
  <c r="B6133" i="106"/>
  <c r="D6133" i="106" s="1"/>
  <c r="B6134" i="106"/>
  <c r="D6134" i="106" s="1"/>
  <c r="B6137" i="106"/>
  <c r="D6137" i="106" s="1"/>
  <c r="B6138" i="106"/>
  <c r="D6138" i="106" s="1"/>
  <c r="B6140" i="106"/>
  <c r="D6140" i="106" s="1"/>
  <c r="B6141" i="106"/>
  <c r="D6141" i="106" s="1"/>
  <c r="B6142" i="106"/>
  <c r="D6142" i="106" s="1"/>
  <c r="B6143" i="106"/>
  <c r="D6143" i="106" s="1"/>
  <c r="B6146" i="106"/>
  <c r="D6146" i="106" s="1"/>
  <c r="B6147" i="106"/>
  <c r="D6147" i="106" s="1"/>
  <c r="B6149" i="106"/>
  <c r="D6149" i="106" s="1"/>
  <c r="B6150" i="106"/>
  <c r="D6150" i="106" s="1"/>
  <c r="B6151" i="106"/>
  <c r="D6151" i="106" s="1"/>
  <c r="B6152" i="106"/>
  <c r="D6152" i="106" s="1"/>
  <c r="B6155" i="106"/>
  <c r="D6155" i="106" s="1"/>
  <c r="B6156" i="106"/>
  <c r="D6156" i="106" s="1"/>
  <c r="B6158" i="106"/>
  <c r="D6158" i="106" s="1"/>
  <c r="B6159" i="106"/>
  <c r="D6159" i="106" s="1"/>
  <c r="B6160" i="106"/>
  <c r="D6160" i="106" s="1"/>
  <c r="B6161" i="106"/>
  <c r="D6161" i="106" s="1"/>
  <c r="B6164" i="106"/>
  <c r="D6164" i="106" s="1"/>
  <c r="B6165" i="106"/>
  <c r="D6165" i="106" s="1"/>
  <c r="B6167" i="106"/>
  <c r="D6167" i="106" s="1"/>
  <c r="B6168" i="106"/>
  <c r="D6168" i="106" s="1"/>
  <c r="B6169" i="106"/>
  <c r="D6169" i="106" s="1"/>
  <c r="B6170" i="106"/>
  <c r="D6170" i="106" s="1"/>
  <c r="B6171" i="106"/>
  <c r="D6171"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5" i="106"/>
  <c r="D6255" i="106" s="1"/>
  <c r="B6258" i="106"/>
  <c r="D6258" i="106" s="1"/>
  <c r="B6260" i="106"/>
  <c r="D6260" i="106" s="1"/>
  <c r="J76" i="4"/>
  <c r="B6261" i="106" s="1"/>
  <c r="D6261" i="106" s="1"/>
  <c r="B6265" i="106"/>
  <c r="D6265" i="106" s="1"/>
  <c r="B6290" i="106"/>
  <c r="D6290" i="106" s="1"/>
  <c r="B6291" i="106"/>
  <c r="D6291"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6" i="106"/>
  <c r="D6316" i="106" s="1"/>
  <c r="B6317" i="106"/>
  <c r="D6317" i="106" s="1"/>
  <c r="B6319" i="106"/>
  <c r="D6319" i="106" s="1"/>
  <c r="B6320" i="106"/>
  <c r="D6320" i="106" s="1"/>
  <c r="B6321" i="106"/>
  <c r="D6321" i="106" s="1"/>
  <c r="B6324" i="106"/>
  <c r="D6324" i="106" s="1"/>
  <c r="B6325" i="106"/>
  <c r="D6325" i="106" s="1"/>
  <c r="B6327" i="106"/>
  <c r="D6327" i="106" s="1"/>
  <c r="B6328" i="106"/>
  <c r="D6328" i="106" s="1"/>
  <c r="B6329" i="106"/>
  <c r="D6329" i="106" s="1"/>
  <c r="B6330" i="106"/>
  <c r="D6330" i="106" s="1"/>
  <c r="B6331" i="106"/>
  <c r="D6331" i="106" s="1"/>
  <c r="B6334" i="106"/>
  <c r="D6334" i="106" s="1"/>
  <c r="B6335" i="106"/>
  <c r="D6335" i="106" s="1"/>
  <c r="B6337" i="106"/>
  <c r="D6337" i="106" s="1"/>
  <c r="B6338" i="106"/>
  <c r="D6338" i="106" s="1"/>
  <c r="B6339" i="106"/>
  <c r="D6339" i="106" s="1"/>
  <c r="B6340" i="106"/>
  <c r="D6340" i="106" s="1"/>
  <c r="B6341" i="106"/>
  <c r="D6341" i="106" s="1"/>
  <c r="B6344" i="106"/>
  <c r="D6344" i="106" s="1"/>
  <c r="B6345" i="106"/>
  <c r="D6345"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70" i="106"/>
  <c r="D6370" i="106" s="1"/>
  <c r="B6371" i="106"/>
  <c r="D6371" i="106" s="1"/>
  <c r="B6372" i="106"/>
  <c r="D6372" i="106" s="1"/>
  <c r="B6373" i="106"/>
  <c r="D6373" i="106" s="1"/>
  <c r="B6374" i="106"/>
  <c r="D6374"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8" i="106"/>
  <c r="D6618" i="106" s="1"/>
  <c r="B6619" i="106"/>
  <c r="D6619" i="106" s="1"/>
  <c r="B6620" i="106"/>
  <c r="D6620" i="106" s="1"/>
  <c r="B6621" i="106"/>
  <c r="D6621" i="106" s="1"/>
  <c r="B6622" i="106"/>
  <c r="D6622" i="106" s="1"/>
  <c r="B6623" i="106"/>
  <c r="D6623" i="106" s="1"/>
  <c r="B6625" i="106"/>
  <c r="D6625" i="106" s="1"/>
  <c r="B6626" i="106"/>
  <c r="D6626" i="106" s="1"/>
  <c r="B6627" i="106"/>
  <c r="D6627" i="106" s="1"/>
  <c r="B6628" i="106"/>
  <c r="D6628" i="106" s="1"/>
  <c r="B6630" i="106"/>
  <c r="D6630" i="106" s="1"/>
  <c r="B6631" i="106"/>
  <c r="D6631" i="106" s="1"/>
  <c r="B6632" i="106"/>
  <c r="D6632" i="106" s="1"/>
  <c r="B6633" i="106"/>
  <c r="D6633" i="106" s="1"/>
  <c r="B6634" i="106"/>
  <c r="D6634" i="106" s="1"/>
  <c r="B6635" i="106"/>
  <c r="D6635" i="106" s="1"/>
  <c r="B6636" i="106"/>
  <c r="D6636" i="106" s="1"/>
  <c r="B6638" i="106"/>
  <c r="D6638" i="106" s="1"/>
  <c r="B6639" i="106"/>
  <c r="D6639" i="106" s="1"/>
  <c r="B6640" i="106"/>
  <c r="D6640" i="106" s="1"/>
  <c r="B6641" i="106"/>
  <c r="D6641" i="106" s="1"/>
  <c r="B6642" i="106"/>
  <c r="D6642" i="106" s="1"/>
  <c r="B6643" i="106"/>
  <c r="D6643" i="106" s="1"/>
  <c r="B6644" i="106"/>
  <c r="D6644" i="106" s="1"/>
  <c r="B6646" i="106"/>
  <c r="D6646" i="106" s="1"/>
  <c r="B6647" i="106"/>
  <c r="D6647" i="106" s="1"/>
  <c r="B6648" i="106"/>
  <c r="D6648" i="106" s="1"/>
  <c r="B6649" i="106"/>
  <c r="D6649" i="106" s="1"/>
  <c r="B6650" i="106"/>
  <c r="D6650" i="106" s="1"/>
  <c r="B6651" i="106"/>
  <c r="D6651" i="106" s="1"/>
  <c r="B6652" i="106"/>
  <c r="D6652" i="106" s="1"/>
  <c r="B6654" i="106"/>
  <c r="D6654" i="106" s="1"/>
  <c r="B6655" i="106"/>
  <c r="D6655" i="106" s="1"/>
  <c r="B6656" i="106"/>
  <c r="D6656" i="106" s="1"/>
  <c r="B6657" i="106"/>
  <c r="D6657" i="106" s="1"/>
  <c r="B6658" i="106"/>
  <c r="D6658" i="106" s="1"/>
  <c r="B6659" i="106"/>
  <c r="D6659" i="106" s="1"/>
  <c r="B6660" i="106"/>
  <c r="D6660" i="106" s="1"/>
  <c r="B6662" i="106"/>
  <c r="D6662" i="106" s="1"/>
  <c r="B6663" i="106"/>
  <c r="D6663" i="106" s="1"/>
  <c r="B6664" i="106"/>
  <c r="D6664" i="106" s="1"/>
  <c r="B6665" i="106"/>
  <c r="D6665" i="106" s="1"/>
  <c r="B6666" i="106"/>
  <c r="D6666" i="106" s="1"/>
  <c r="B6667" i="106"/>
  <c r="D6667" i="106" s="1"/>
  <c r="B6668" i="106"/>
  <c r="D6668" i="106" s="1"/>
  <c r="B6670" i="106"/>
  <c r="D6670" i="106" s="1"/>
  <c r="B6671" i="106"/>
  <c r="D6671" i="106" s="1"/>
  <c r="B6672" i="106"/>
  <c r="D6672" i="106" s="1"/>
  <c r="B6673" i="106"/>
  <c r="D6673" i="106" s="1"/>
  <c r="B6674" i="106"/>
  <c r="D6674" i="106" s="1"/>
  <c r="B6675" i="106"/>
  <c r="D6675" i="106" s="1"/>
  <c r="B6676" i="106"/>
  <c r="D6676" i="106" s="1"/>
  <c r="B6678" i="106"/>
  <c r="D6678" i="106" s="1"/>
  <c r="B6679" i="106"/>
  <c r="D6679" i="106" s="1"/>
  <c r="B6680" i="106"/>
  <c r="D6680" i="106" s="1"/>
  <c r="B6681" i="106"/>
  <c r="D6681" i="106" s="1"/>
  <c r="B6682" i="106"/>
  <c r="D6682" i="106" s="1"/>
  <c r="B6683" i="106"/>
  <c r="D6683" i="106" s="1"/>
  <c r="B6684" i="106"/>
  <c r="D6684" i="106" s="1"/>
  <c r="B6686" i="106"/>
  <c r="D6686" i="106" s="1"/>
  <c r="B6687" i="106"/>
  <c r="D6687" i="106" s="1"/>
  <c r="B6688" i="106"/>
  <c r="D6688" i="106" s="1"/>
  <c r="B6689" i="106"/>
  <c r="D6689" i="106" s="1"/>
  <c r="B6690" i="106"/>
  <c r="D6690" i="106" s="1"/>
  <c r="B6691" i="106"/>
  <c r="D6691" i="106" s="1"/>
  <c r="B6693" i="106"/>
  <c r="D6693" i="106" s="1"/>
  <c r="B6694" i="106"/>
  <c r="D6694" i="106" s="1"/>
  <c r="B6695" i="106"/>
  <c r="D6695" i="106" s="1"/>
  <c r="B6696" i="106"/>
  <c r="D6696" i="106" s="1"/>
  <c r="B6697" i="106"/>
  <c r="D6697" i="106" s="1"/>
  <c r="B6698" i="106"/>
  <c r="D6698" i="106" s="1"/>
  <c r="B6700" i="106"/>
  <c r="D6700" i="106" s="1"/>
  <c r="B6701" i="106"/>
  <c r="D6701" i="106" s="1"/>
  <c r="B6702" i="106"/>
  <c r="D6702" i="106" s="1"/>
  <c r="B6703" i="106"/>
  <c r="D6703" i="106" s="1"/>
  <c r="B6704" i="106"/>
  <c r="D6704" i="106" s="1"/>
  <c r="B6705" i="106"/>
  <c r="D6705" i="106" s="1"/>
  <c r="B6706" i="106"/>
  <c r="D6706" i="106" s="1"/>
  <c r="B6708" i="106"/>
  <c r="D6708" i="106" s="1"/>
  <c r="B6709" i="106"/>
  <c r="D6709" i="106" s="1"/>
  <c r="B6710" i="106"/>
  <c r="D6710" i="106" s="1"/>
  <c r="B6711" i="106"/>
  <c r="D6711" i="106" s="1"/>
  <c r="B6712" i="106"/>
  <c r="D6712" i="106" s="1"/>
  <c r="B6713" i="106"/>
  <c r="D6713" i="106" s="1"/>
  <c r="B6716" i="106"/>
  <c r="D6716" i="106" s="1"/>
  <c r="B6717" i="106"/>
  <c r="D6717" i="106" s="1"/>
  <c r="B6718" i="106"/>
  <c r="D6718" i="106" s="1"/>
  <c r="B6719" i="106"/>
  <c r="D6719" i="106" s="1"/>
  <c r="B6720" i="106"/>
  <c r="D6720" i="106" s="1"/>
  <c r="B6721" i="106"/>
  <c r="D6721" i="106" s="1"/>
  <c r="B6724" i="106"/>
  <c r="D6724" i="106" s="1"/>
  <c r="B6725" i="106"/>
  <c r="D6725" i="106" s="1"/>
  <c r="B6726" i="106"/>
  <c r="D6726" i="106" s="1"/>
  <c r="B6727" i="106"/>
  <c r="D6727" i="106" s="1"/>
  <c r="B6728" i="106"/>
  <c r="D6728" i="106" s="1"/>
  <c r="B6729" i="106"/>
  <c r="D6729" i="106" s="1"/>
  <c r="B6730" i="106"/>
  <c r="D6730" i="106" s="1"/>
  <c r="B6733" i="106"/>
  <c r="D6733" i="106" s="1"/>
  <c r="B6734" i="106"/>
  <c r="D6734" i="106" s="1"/>
  <c r="B6735" i="106"/>
  <c r="D6735" i="106" s="1"/>
  <c r="B6736" i="106"/>
  <c r="D6736" i="106" s="1"/>
  <c r="B6737" i="106"/>
  <c r="D6737" i="106" s="1"/>
  <c r="B6738" i="106"/>
  <c r="D6738" i="106" s="1"/>
  <c r="B6741" i="106"/>
  <c r="D6741" i="106" s="1"/>
  <c r="B6742" i="106"/>
  <c r="D6742" i="106" s="1"/>
  <c r="B6743" i="106"/>
  <c r="D6743" i="106" s="1"/>
  <c r="B6744" i="106"/>
  <c r="D6744" i="106" s="1"/>
  <c r="B6745" i="106"/>
  <c r="D6745" i="106" s="1"/>
  <c r="B6746" i="106"/>
  <c r="D6746" i="106" s="1"/>
  <c r="B6747" i="106"/>
  <c r="D6747" i="106" s="1"/>
  <c r="B6749" i="106"/>
  <c r="D6749" i="106" s="1"/>
  <c r="B6750" i="106"/>
  <c r="D6750" i="106" s="1"/>
  <c r="B6751" i="106"/>
  <c r="D6751" i="106" s="1"/>
  <c r="B6752" i="106"/>
  <c r="D6752" i="106" s="1"/>
  <c r="B6753" i="106"/>
  <c r="D6753" i="106" s="1"/>
  <c r="B6754" i="106"/>
  <c r="D6754" i="106" s="1"/>
  <c r="B6755" i="106"/>
  <c r="D6755" i="106" s="1"/>
  <c r="B6757" i="106"/>
  <c r="D6757" i="106" s="1"/>
  <c r="B6758" i="106"/>
  <c r="D6758" i="106" s="1"/>
  <c r="B6759" i="106"/>
  <c r="D6759" i="106" s="1"/>
  <c r="B6760" i="106"/>
  <c r="D6760" i="106" s="1"/>
  <c r="B6761" i="106"/>
  <c r="D6761" i="106" s="1"/>
  <c r="B6762" i="106"/>
  <c r="D6762" i="106" s="1"/>
  <c r="B6763" i="106"/>
  <c r="D6763" i="106" s="1"/>
  <c r="B6765" i="106"/>
  <c r="D6765" i="106" s="1"/>
  <c r="B6766" i="106"/>
  <c r="D6766" i="106" s="1"/>
  <c r="B6767" i="106"/>
  <c r="D6767" i="106" s="1"/>
  <c r="B6768" i="106"/>
  <c r="D6768" i="106" s="1"/>
  <c r="B6769" i="106"/>
  <c r="D6769" i="106" s="1"/>
  <c r="B6770" i="106"/>
  <c r="D6770" i="106" s="1"/>
  <c r="B6771" i="106"/>
  <c r="D6771" i="106" s="1"/>
  <c r="B6773" i="106"/>
  <c r="D6773" i="106" s="1"/>
  <c r="B6774" i="106"/>
  <c r="D6774" i="106" s="1"/>
  <c r="B6775" i="106"/>
  <c r="D6775" i="106" s="1"/>
  <c r="B6776" i="106"/>
  <c r="D6776" i="106" s="1"/>
  <c r="B6777" i="106"/>
  <c r="D6777" i="106" s="1"/>
  <c r="B6778" i="106"/>
  <c r="D6778" i="106" s="1"/>
  <c r="B6779" i="106"/>
  <c r="D6779" i="106" s="1"/>
  <c r="B6781" i="106"/>
  <c r="D6781" i="106" s="1"/>
  <c r="B6782" i="106"/>
  <c r="D6782" i="106" s="1"/>
  <c r="B6783" i="106"/>
  <c r="D6783" i="106" s="1"/>
  <c r="B6784" i="106"/>
  <c r="D6784" i="106" s="1"/>
  <c r="B6785" i="106"/>
  <c r="D6785" i="106" s="1"/>
  <c r="B6786" i="106"/>
  <c r="D6786" i="106" s="1"/>
  <c r="B6787" i="106"/>
  <c r="D6787" i="106" s="1"/>
  <c r="B6789" i="106"/>
  <c r="D6789" i="106" s="1"/>
  <c r="B6790" i="106"/>
  <c r="D6790" i="106" s="1"/>
  <c r="B6791" i="106"/>
  <c r="D6791" i="106" s="1"/>
  <c r="B6792" i="106"/>
  <c r="D6792" i="106" s="1"/>
  <c r="B6793" i="106"/>
  <c r="D6793" i="106" s="1"/>
  <c r="B6794" i="106"/>
  <c r="D6794" i="106" s="1"/>
  <c r="B6795" i="106"/>
  <c r="D6795" i="106" s="1"/>
  <c r="B6797" i="106"/>
  <c r="D6797" i="106" s="1"/>
  <c r="B6798" i="106"/>
  <c r="D6798" i="106" s="1"/>
  <c r="B6799" i="106"/>
  <c r="D6799" i="106" s="1"/>
  <c r="B6800" i="106"/>
  <c r="D6800" i="106" s="1"/>
  <c r="B6801" i="106"/>
  <c r="D6801" i="106" s="1"/>
  <c r="B6802" i="106"/>
  <c r="D6802" i="106" s="1"/>
  <c r="B6803" i="106"/>
  <c r="D6803" i="106" s="1"/>
  <c r="B6805" i="106"/>
  <c r="D6805" i="106" s="1"/>
  <c r="B6806" i="106"/>
  <c r="D6806" i="106" s="1"/>
  <c r="B6807" i="106"/>
  <c r="D6807" i="106" s="1"/>
  <c r="B6808" i="106"/>
  <c r="D6808" i="106" s="1"/>
  <c r="B6809" i="106"/>
  <c r="D6809" i="106" s="1"/>
  <c r="B6810" i="106"/>
  <c r="D6810" i="106" s="1"/>
  <c r="B6811" i="106"/>
  <c r="D6811" i="106" s="1"/>
  <c r="B6813" i="106"/>
  <c r="D6813" i="106" s="1"/>
  <c r="B6814" i="106"/>
  <c r="D6814" i="106" s="1"/>
  <c r="B6815" i="106"/>
  <c r="D6815" i="106" s="1"/>
  <c r="B6816" i="106"/>
  <c r="D6816" i="106" s="1"/>
  <c r="B6817" i="106"/>
  <c r="D6817" i="106" s="1"/>
  <c r="B6818" i="106"/>
  <c r="D6818" i="106" s="1"/>
  <c r="B6819" i="106"/>
  <c r="D6819" i="106" s="1"/>
  <c r="B6821" i="106"/>
  <c r="D6821" i="106" s="1"/>
  <c r="B6822" i="106"/>
  <c r="D6822" i="106" s="1"/>
  <c r="B6823" i="106"/>
  <c r="D6823" i="106" s="1"/>
  <c r="B6824" i="106"/>
  <c r="D6824" i="106" s="1"/>
  <c r="B6825" i="106"/>
  <c r="D6825" i="106" s="1"/>
  <c r="B6826" i="106"/>
  <c r="D6826" i="106" s="1"/>
  <c r="B6827" i="106"/>
  <c r="D6827"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9" i="106"/>
  <c r="D7049" i="106" s="1"/>
  <c r="D7056" i="106"/>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2" i="106"/>
  <c r="D7752" i="106" s="1"/>
  <c r="B7753" i="106"/>
  <c r="D7753" i="106" s="1"/>
  <c r="B7754" i="106"/>
  <c r="D7754" i="106" s="1"/>
  <c r="B7755" i="106"/>
  <c r="D7755" i="106" s="1"/>
  <c r="D7756" i="106"/>
  <c r="D7757" i="106"/>
  <c r="D7770" i="106"/>
  <c r="D7771" i="106"/>
  <c r="D7772" i="106"/>
  <c r="D7773" i="106"/>
  <c r="D7774" i="106"/>
  <c r="D7775" i="106"/>
  <c r="D7776"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8" i="36"/>
  <c r="D39" i="36"/>
  <c r="D41" i="36"/>
  <c r="D42" i="36"/>
  <c r="B63" i="127"/>
  <c r="B64" i="127"/>
  <c r="E27" i="108"/>
  <c r="G27" i="108"/>
  <c r="G28" i="108"/>
  <c r="G30" i="108"/>
  <c r="E31" i="108"/>
  <c r="G31" i="108"/>
  <c r="E34"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F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C104" i="34"/>
  <c r="D104" i="34"/>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F121" i="34"/>
  <c r="C122" i="34"/>
  <c r="C123" i="34"/>
  <c r="D123" i="34"/>
  <c r="F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B4" i="7"/>
  <c r="B1744" i="106" s="1"/>
  <c r="D1744" i="106" s="1"/>
  <c r="B5" i="7"/>
  <c r="B1745" i="106" s="1"/>
  <c r="D1745" i="106" s="1"/>
  <c r="B8" i="7"/>
  <c r="B1748" i="106" s="1"/>
  <c r="D1748" i="106" s="1"/>
  <c r="B9" i="7"/>
  <c r="B1751" i="106" s="1"/>
  <c r="D1751" i="106" s="1"/>
  <c r="B1752" i="106"/>
  <c r="D1752" i="106" s="1"/>
  <c r="B12" i="7"/>
  <c r="B1753" i="106" s="1"/>
  <c r="D1753" i="106" s="1"/>
  <c r="B13" i="7"/>
  <c r="B3725" i="106" s="1"/>
  <c r="D3725" i="106" s="1"/>
  <c r="B16" i="7"/>
  <c r="B3446" i="106" s="1"/>
  <c r="D3446" i="106" s="1"/>
  <c r="B17" i="7"/>
  <c r="B4102" i="106" s="1"/>
  <c r="D4102"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229" i="29"/>
  <c r="L238" i="29"/>
  <c r="L243" i="29"/>
  <c r="L257" i="29"/>
  <c r="L261" i="29"/>
  <c r="L270" i="29"/>
  <c r="L277" i="29"/>
  <c r="L293" i="29"/>
  <c r="L303" i="29"/>
  <c r="L310" i="29"/>
  <c r="L330" i="29"/>
  <c r="L340" i="29"/>
  <c r="L350" i="29"/>
  <c r="L352" i="29" s="1"/>
  <c r="L362" i="29"/>
  <c r="L365" i="29" s="1"/>
  <c r="C12" i="5"/>
  <c r="D12" i="5"/>
  <c r="B5334" i="106" s="1"/>
  <c r="D5334" i="106" s="1"/>
  <c r="G12" i="5"/>
  <c r="B5725" i="106" s="1"/>
  <c r="D5725" i="106" s="1"/>
  <c r="H12" i="5"/>
  <c r="B5873" i="106" s="1"/>
  <c r="D5873" i="106" s="1"/>
  <c r="J12" i="5"/>
  <c r="B6301" i="106" s="1"/>
  <c r="D6301" i="106" s="1"/>
  <c r="K12" i="5"/>
  <c r="B5987" i="106" s="1"/>
  <c r="D5987" i="106" s="1"/>
  <c r="C18" i="5"/>
  <c r="B5071" i="106" s="1"/>
  <c r="D5071" i="106" s="1"/>
  <c r="D18" i="5"/>
  <c r="B5339" i="106" s="1"/>
  <c r="D5339" i="106" s="1"/>
  <c r="G18" i="5"/>
  <c r="B5730" i="106" s="1"/>
  <c r="D5730" i="106" s="1"/>
  <c r="H18" i="5"/>
  <c r="B5878" i="106" s="1"/>
  <c r="D5878" i="106" s="1"/>
  <c r="J18" i="5"/>
  <c r="B6306" i="106" s="1"/>
  <c r="D6306" i="106" s="1"/>
  <c r="K18" i="5"/>
  <c r="B5992" i="106" s="1"/>
  <c r="D5992" i="106" s="1"/>
  <c r="C40" i="5"/>
  <c r="B5087" i="106" s="1"/>
  <c r="D5087" i="106" s="1"/>
  <c r="C67" i="5"/>
  <c r="B5090" i="106" s="1"/>
  <c r="D5090" i="106" s="1"/>
  <c r="D67" i="5"/>
  <c r="B5342" i="106" s="1"/>
  <c r="D5342" i="106" s="1"/>
  <c r="G67" i="5"/>
  <c r="B5733" i="106" s="1"/>
  <c r="D5733" i="106" s="1"/>
  <c r="H67" i="5"/>
  <c r="B5881" i="106" s="1"/>
  <c r="D5881"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G108" i="5"/>
  <c r="B5737" i="106" s="1"/>
  <c r="D5737" i="106" s="1"/>
  <c r="H108" i="5"/>
  <c r="B5886" i="106" s="1"/>
  <c r="D5886" i="106" s="1"/>
  <c r="J108" i="5"/>
  <c r="B6351" i="106" s="1"/>
  <c r="D6351" i="106" s="1"/>
  <c r="K108" i="5"/>
  <c r="B5999" i="106" s="1"/>
  <c r="D5999" i="106" s="1"/>
  <c r="C114" i="5"/>
  <c r="B5125" i="106" s="1"/>
  <c r="D5125" i="106" s="1"/>
  <c r="D114" i="5"/>
  <c r="B5360" i="106" s="1"/>
  <c r="D5360" i="106" s="1"/>
  <c r="G114" i="5"/>
  <c r="B5741" i="106" s="1"/>
  <c r="D5741" i="106" s="1"/>
  <c r="C122" i="5"/>
  <c r="B5132" i="106" s="1"/>
  <c r="D5132" i="106" s="1"/>
  <c r="D122" i="5"/>
  <c r="B5367" i="106" s="1"/>
  <c r="D5367" i="106" s="1"/>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H169" i="5"/>
  <c r="B5899" i="106" s="1"/>
  <c r="D5899" i="106" s="1"/>
  <c r="J169" i="5"/>
  <c r="B6396" i="106" s="1"/>
  <c r="D6396" i="106" s="1"/>
  <c r="K169" i="5"/>
  <c r="B5000" i="106" s="1"/>
  <c r="D5000" i="106" s="1"/>
  <c r="C175" i="5"/>
  <c r="B5225" i="106" s="1"/>
  <c r="D5225" i="106" s="1"/>
  <c r="D175" i="5"/>
  <c r="B5423" i="106" s="1"/>
  <c r="D5423"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G181" i="5"/>
  <c r="B5784" i="106" s="1"/>
  <c r="D5784" i="106" s="1"/>
  <c r="H181" i="5"/>
  <c r="B5908" i="106" s="1"/>
  <c r="D5908" i="106" s="1"/>
  <c r="K181" i="5"/>
  <c r="B6016" i="106" s="1"/>
  <c r="D6016" i="106" s="1"/>
  <c r="D188" i="5"/>
  <c r="G188" i="5"/>
  <c r="G198" i="5"/>
  <c r="B6409" i="106" s="1"/>
  <c r="D6409" i="106" s="1"/>
  <c r="D204" i="5"/>
  <c r="B5444" i="106" s="1"/>
  <c r="D5444" i="106" s="1"/>
  <c r="G204" i="5"/>
  <c r="B5803" i="106" s="1"/>
  <c r="D5803" i="106" s="1"/>
  <c r="D209" i="5"/>
  <c r="B4412" i="106" s="1"/>
  <c r="D4412" i="106" s="1"/>
  <c r="G209" i="5"/>
  <c r="B4414" i="106" s="1"/>
  <c r="D4414" i="106" s="1"/>
  <c r="D217" i="5"/>
  <c r="B5470" i="106" s="1"/>
  <c r="D5470" i="106" s="1"/>
  <c r="G217" i="5"/>
  <c r="B5829" i="106" s="1"/>
  <c r="D5829" i="106" s="1"/>
  <c r="D221" i="5"/>
  <c r="B5488" i="106" s="1"/>
  <c r="D5488" i="106" s="1"/>
  <c r="G221" i="5"/>
  <c r="B5847" i="106" s="1"/>
  <c r="D5847" i="106" s="1"/>
  <c r="G252" i="5"/>
  <c r="B6837" i="106" s="1"/>
  <c r="D6837" i="106" s="1"/>
  <c r="D252" i="5"/>
  <c r="B6834" i="106" s="1"/>
  <c r="D6834" i="106" s="1"/>
  <c r="H252" i="5"/>
  <c r="H266" i="5" s="1"/>
  <c r="B4441" i="106" s="1"/>
  <c r="D4441" i="106" s="1"/>
  <c r="J252" i="5"/>
  <c r="J266" i="5" s="1"/>
  <c r="B7041" i="106" s="1"/>
  <c r="D7041" i="106" s="1"/>
  <c r="K252" i="5"/>
  <c r="K266" i="5" s="1"/>
  <c r="B4442" i="106" s="1"/>
  <c r="D4442" i="106" s="1"/>
  <c r="D7" i="118"/>
  <c r="D8" i="118"/>
  <c r="D9" i="118"/>
  <c r="H14" i="118"/>
  <c r="H19" i="118"/>
  <c r="D22" i="37"/>
  <c r="L22" i="37"/>
  <c r="G35" i="108" l="1"/>
  <c r="H33" i="118"/>
  <c r="G14" i="4"/>
  <c r="B2609" i="106" s="1"/>
  <c r="D2609" i="106" s="1"/>
  <c r="F72" i="34"/>
  <c r="F71" i="34"/>
  <c r="B7047" i="106"/>
  <c r="D7047" i="106" s="1"/>
  <c r="D24" i="37"/>
  <c r="B4270" i="106" s="1"/>
  <c r="D4270" i="106" s="1"/>
  <c r="B2805" i="106"/>
  <c r="D2805" i="106" s="1"/>
  <c r="F56" i="34"/>
  <c r="B7832" i="106" s="1"/>
  <c r="D7832" i="106" s="1"/>
  <c r="F50" i="34"/>
  <c r="F42" i="34"/>
  <c r="H365" i="29"/>
  <c r="B7242" i="106" s="1"/>
  <c r="D7242" i="106" s="1"/>
  <c r="B2724" i="106"/>
  <c r="D2724" i="106" s="1"/>
  <c r="D36" i="108"/>
  <c r="C129" i="29"/>
  <c r="B1225" i="106" s="1"/>
  <c r="D1225" i="106" s="1"/>
  <c r="C352" i="29"/>
  <c r="B3621" i="106" s="1"/>
  <c r="D3621" i="106" s="1"/>
  <c r="H342" i="29"/>
  <c r="B7221" i="106" s="1"/>
  <c r="D7221" i="106" s="1"/>
  <c r="B7074" i="106"/>
  <c r="D7074"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F34" i="34"/>
  <c r="B7826" i="106" s="1"/>
  <c r="D7826" i="106" s="1"/>
  <c r="B7162" i="106"/>
  <c r="D7162" i="106" s="1"/>
  <c r="E61" i="184"/>
  <c r="N61" i="184" s="1"/>
  <c r="B7705" i="106"/>
  <c r="D7705" i="106" s="1"/>
  <c r="E67" i="184"/>
  <c r="N67" i="184"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5" i="108"/>
  <c r="F28" i="108"/>
  <c r="F27" i="108"/>
  <c r="E26" i="108"/>
  <c r="H112" i="29"/>
  <c r="B7018" i="106" s="1"/>
  <c r="D7018" i="106" s="1"/>
  <c r="J77" i="4"/>
  <c r="B6262" i="106" s="1"/>
  <c r="D6262" i="106" s="1"/>
  <c r="B3647" i="106"/>
  <c r="D3647" i="106" s="1"/>
  <c r="L13" i="11"/>
  <c r="B2060" i="106" s="1"/>
  <c r="D2060" i="106" s="1"/>
  <c r="L5" i="11"/>
  <c r="B2056" i="106" s="1"/>
  <c r="D2056" i="106" s="1"/>
  <c r="J352" i="29"/>
  <c r="J367" i="29" s="1"/>
  <c r="B7245" i="106" s="1"/>
  <c r="D7245" i="106" s="1"/>
  <c r="D6103" i="106"/>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L15" i="11"/>
  <c r="B3459" i="106" s="1"/>
  <c r="D3459"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D12" i="7"/>
  <c r="B1769" i="106" s="1"/>
  <c r="D1769" i="106" s="1"/>
  <c r="D13" i="7"/>
  <c r="B3726" i="106" s="1"/>
  <c r="D3726" i="106" s="1"/>
  <c r="B5096" i="106"/>
  <c r="D5096" i="106" s="1"/>
  <c r="D4" i="7"/>
  <c r="B1760" i="106" s="1"/>
  <c r="D1760" i="106" s="1"/>
  <c r="F107" i="34"/>
  <c r="B7843" i="106" s="1"/>
  <c r="D7843" i="106" s="1"/>
  <c r="G5" i="4"/>
  <c r="B3409" i="106" s="1"/>
  <c r="D3409" i="106" s="1"/>
  <c r="C109" i="5"/>
  <c r="B5121" i="106" s="1"/>
  <c r="D5121" i="106" s="1"/>
  <c r="G169" i="5"/>
  <c r="G170" i="5" s="1"/>
  <c r="B5778" i="106" s="1"/>
  <c r="D5778" i="106" s="1"/>
  <c r="D109" i="5"/>
  <c r="I267" i="5"/>
  <c r="I7" i="4" s="1"/>
  <c r="B4444" i="106" s="1"/>
  <c r="D4444" i="106" s="1"/>
  <c r="B4396" i="106"/>
  <c r="D4396" i="106" s="1"/>
  <c r="G109" i="5"/>
  <c r="B5066" i="106"/>
  <c r="D5066" i="106" s="1"/>
  <c r="C169" i="5"/>
  <c r="D5" i="7"/>
  <c r="B1761" i="106" s="1"/>
  <c r="D1761" i="106" s="1"/>
  <c r="K170" i="5"/>
  <c r="K6" i="4" s="1"/>
  <c r="B3570" i="106" s="1"/>
  <c r="D3570" i="106" s="1"/>
  <c r="J267" i="5"/>
  <c r="B7054" i="106" s="1"/>
  <c r="D7054" i="106" s="1"/>
  <c r="K267" i="5"/>
  <c r="B6022" i="106" s="1"/>
  <c r="D6022" i="106" s="1"/>
  <c r="H170" i="5"/>
  <c r="D11" i="7"/>
  <c r="B1768" i="106" s="1"/>
  <c r="D1768" i="106" s="1"/>
  <c r="H109" i="5"/>
  <c r="F133" i="34"/>
  <c r="B7865" i="106" s="1"/>
  <c r="D7865" i="106" s="1"/>
  <c r="H295" i="29"/>
  <c r="B1454" i="106" s="1"/>
  <c r="D1454" i="106" s="1"/>
  <c r="H352" i="29"/>
  <c r="B3656" i="106" s="1"/>
  <c r="D3656" i="106" s="1"/>
  <c r="E102" i="29"/>
  <c r="B2790" i="106" s="1"/>
  <c r="D2790" i="106" s="1"/>
  <c r="J342" i="29"/>
  <c r="B7223" i="106" s="1"/>
  <c r="D7223" i="106" s="1"/>
  <c r="G342" i="29"/>
  <c r="K137" i="29"/>
  <c r="K84" i="29"/>
  <c r="B2088" i="106" s="1"/>
  <c r="D2088" i="106" s="1"/>
  <c r="B79" i="36"/>
  <c r="B77" i="36"/>
  <c r="F108" i="34"/>
  <c r="B7844" i="106" s="1"/>
  <c r="D7844" i="106" s="1"/>
  <c r="J109" i="5"/>
  <c r="J170" i="5"/>
  <c r="F96" i="34"/>
  <c r="B7838" i="106" s="1"/>
  <c r="D7838" i="106" s="1"/>
  <c r="F126" i="34"/>
  <c r="B7858" i="106" s="1"/>
  <c r="D7858" i="106" s="1"/>
  <c r="C5" i="4"/>
  <c r="B3405" i="106" s="1"/>
  <c r="D3405" i="106" s="1"/>
  <c r="B6840" i="106"/>
  <c r="D6840" i="106" s="1"/>
  <c r="B6839" i="106"/>
  <c r="D6839" i="106" s="1"/>
  <c r="B6838" i="106"/>
  <c r="D6838" i="106" s="1"/>
  <c r="D169" i="5"/>
  <c r="B5412" i="106" s="1"/>
  <c r="D5412"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264" i="106"/>
  <c r="D1264" i="106" s="1"/>
  <c r="H129" i="29"/>
  <c r="H151" i="29" s="1"/>
  <c r="B1273" i="106" s="1"/>
  <c r="D1273" i="106" s="1"/>
  <c r="B1239" i="106"/>
  <c r="D1239" i="106" s="1"/>
  <c r="E129" i="29"/>
  <c r="B1146" i="106"/>
  <c r="D1146" i="106" s="1"/>
  <c r="K110" i="29"/>
  <c r="B122" i="106"/>
  <c r="D122" i="106" s="1"/>
  <c r="B1134" i="106"/>
  <c r="D1134" i="106" s="1"/>
  <c r="B7759" i="106"/>
  <c r="D7759" i="106" s="1"/>
  <c r="B1131" i="106"/>
  <c r="D1131" i="106" s="1"/>
  <c r="L3" i="11"/>
  <c r="B7596" i="106" s="1"/>
  <c r="L9" i="11"/>
  <c r="B7614" i="106" s="1"/>
  <c r="L10" i="11"/>
  <c r="B2058" i="106" s="1"/>
  <c r="D2058" i="106" s="1"/>
  <c r="D16" i="7"/>
  <c r="B3447" i="106" s="1"/>
  <c r="D3447" i="106" s="1"/>
  <c r="D8" i="7"/>
  <c r="B1764" i="106" s="1"/>
  <c r="D1764" i="106" s="1"/>
  <c r="B4435" i="106"/>
  <c r="D4435" i="106" s="1"/>
  <c r="B4950" i="106"/>
  <c r="D4950" i="106" s="1"/>
  <c r="H267" i="5"/>
  <c r="H7" i="4" s="1"/>
  <c r="B2657" i="106" s="1"/>
  <c r="D2657" i="106" s="1"/>
  <c r="L102" i="29"/>
  <c r="B1121" i="106"/>
  <c r="D1121" i="106" s="1"/>
  <c r="K53" i="29"/>
  <c r="B731" i="106"/>
  <c r="D731" i="106" s="1"/>
  <c r="C74" i="29"/>
  <c r="B755" i="106" s="1"/>
  <c r="D755" i="106" s="1"/>
  <c r="B1116" i="106"/>
  <c r="D1116" i="106" s="1"/>
  <c r="K47" i="29"/>
  <c r="B7600" i="106"/>
  <c r="L6" i="11"/>
  <c r="B7605" i="106" s="1"/>
  <c r="A7250" i="106"/>
  <c r="A7251" i="106" s="1"/>
  <c r="A7252" i="106" s="1"/>
  <c r="A7253" i="106" s="1"/>
  <c r="A7254" i="106" s="1"/>
  <c r="A7255" i="106" s="1"/>
  <c r="A7256" i="106" s="1"/>
  <c r="A7257" i="106" s="1"/>
  <c r="D7249" i="106"/>
  <c r="G266" i="5"/>
  <c r="B4398" i="106"/>
  <c r="D4398"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L151" i="29"/>
  <c r="C266" i="5"/>
  <c r="J24" i="12"/>
  <c r="B7730" i="106"/>
  <c r="D7730" i="106" s="1"/>
  <c r="J151" i="29" l="1"/>
  <c r="B7052" i="106" s="1"/>
  <c r="D7052" i="106" s="1"/>
  <c r="C367" i="29"/>
  <c r="B3622" i="106" s="1"/>
  <c r="D3622" i="106" s="1"/>
  <c r="J16" i="4"/>
  <c r="B6226" i="106" s="1"/>
  <c r="D6226" i="106" s="1"/>
  <c r="L16" i="11"/>
  <c r="B2061" i="106" s="1"/>
  <c r="D2061" i="106" s="1"/>
  <c r="C151" i="29"/>
  <c r="B1226" i="106" s="1"/>
  <c r="D1226" i="106" s="1"/>
  <c r="I151" i="29"/>
  <c r="F59" i="34" s="1"/>
  <c r="L114" i="29"/>
  <c r="K365" i="29"/>
  <c r="B7243" i="106" s="1"/>
  <c r="D7243" i="106" s="1"/>
  <c r="B7235" i="106"/>
  <c r="D7235" i="106" s="1"/>
  <c r="B1266" i="106"/>
  <c r="D1266" i="106" s="1"/>
  <c r="F41" i="108"/>
  <c r="G43" i="108" s="1"/>
  <c r="H19" i="184"/>
  <c r="L20" i="184" s="1"/>
  <c r="E19" i="184"/>
  <c r="B5770" i="106"/>
  <c r="D5770" i="106" s="1"/>
  <c r="N57" i="184"/>
  <c r="N68" i="184" s="1"/>
  <c r="E68" i="184"/>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I26" i="12"/>
  <c r="B7741" i="106" s="1"/>
  <c r="D7741" i="106" s="1"/>
  <c r="B1996" i="106"/>
  <c r="D1996" i="106" s="1"/>
  <c r="D7255" i="106"/>
  <c r="D7253" i="106"/>
  <c r="D7252"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K7" i="4"/>
  <c r="B3718" i="106" s="1"/>
  <c r="D3718" i="106" s="1"/>
  <c r="C4" i="4"/>
  <c r="B2551" i="106" s="1"/>
  <c r="D2551" i="106" s="1"/>
  <c r="D267" i="5"/>
  <c r="D7" i="4"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D3674" i="106"/>
  <c r="B3573" i="106"/>
  <c r="D3573" i="106" s="1"/>
  <c r="K4" i="4"/>
  <c r="B6028" i="106"/>
  <c r="D6028" i="106" s="1"/>
  <c r="D170" i="5"/>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K74" i="29"/>
  <c r="D151" i="29"/>
  <c r="B1234" i="106" s="1"/>
  <c r="D1234" i="106" s="1"/>
  <c r="B1233" i="106"/>
  <c r="D1233" i="106" s="1"/>
  <c r="F151" i="29"/>
  <c r="B1250" i="106" s="1"/>
  <c r="D1250" i="106" s="1"/>
  <c r="B1249" i="106"/>
  <c r="D1249" i="106" s="1"/>
  <c r="K149" i="29"/>
  <c r="B7048" i="106"/>
  <c r="D7048" i="106" s="1"/>
  <c r="G151" i="29"/>
  <c r="F58" i="34" s="1"/>
  <c r="B1258" i="106"/>
  <c r="D1258" i="106" s="1"/>
  <c r="B1446" i="106"/>
  <c r="D1446" i="106" s="1"/>
  <c r="B1448" i="106"/>
  <c r="D1448" i="106" s="1"/>
  <c r="B1125" i="106"/>
  <c r="D1125" i="106" s="1"/>
  <c r="G24" i="108"/>
  <c r="E24" i="108"/>
  <c r="K129" i="29"/>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G267" i="5"/>
  <c r="B5863" i="106"/>
  <c r="D5863" i="106" s="1"/>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G22" i="108"/>
  <c r="B1119" i="106"/>
  <c r="D1119" i="106" s="1"/>
  <c r="E22" i="108"/>
  <c r="B7224" i="106" l="1"/>
  <c r="D7224" i="106" s="1"/>
  <c r="B1145" i="106"/>
  <c r="D1145" i="106" s="1"/>
  <c r="K367" i="29"/>
  <c r="B3678" i="106" s="1"/>
  <c r="D3678" i="106" s="1"/>
  <c r="K16" i="4"/>
  <c r="F24" i="37"/>
  <c r="D268" i="5"/>
  <c r="B5508" i="106" s="1"/>
  <c r="D5508" i="106" s="1"/>
  <c r="J17" i="4"/>
  <c r="B6227" i="106" s="1"/>
  <c r="D6227" i="106" s="1"/>
  <c r="K13" i="4"/>
  <c r="B3572" i="106" s="1"/>
  <c r="D3572" i="106" s="1"/>
  <c r="B3672" i="106"/>
  <c r="D3672" i="106" s="1"/>
  <c r="B5507" i="106"/>
  <c r="D5507"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556" i="106"/>
  <c r="D2556" i="106" s="1"/>
  <c r="A7259" i="106"/>
  <c r="D7258" i="106"/>
  <c r="K151" i="29"/>
  <c r="B1281" i="106"/>
  <c r="D1281" i="106" s="1"/>
  <c r="D13" i="4"/>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7020" i="106"/>
  <c r="D7020" i="106" s="1"/>
  <c r="F55" i="34"/>
  <c r="B2659" i="106"/>
  <c r="D2659" i="106" s="1"/>
  <c r="H17" i="4"/>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D8" i="4"/>
  <c r="C8" i="146" s="1"/>
  <c r="B2658" i="106"/>
  <c r="D2658" i="106" s="1"/>
  <c r="H10" i="4"/>
  <c r="B4127" i="106" s="1"/>
  <c r="D4127" i="106" s="1"/>
  <c r="K152" i="29"/>
  <c r="B1289" i="106" s="1"/>
  <c r="D1289" i="106" s="1"/>
  <c r="F9" i="34"/>
  <c r="F8" i="34"/>
  <c r="K10" i="4"/>
  <c r="B4130" i="106" s="1"/>
  <c r="D4130" i="106" s="1"/>
  <c r="B3571" i="106"/>
  <c r="D3571"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B2569" i="106"/>
  <c r="D2569" i="106" s="1"/>
  <c r="D17" i="4"/>
  <c r="B1288" i="106"/>
  <c r="D1288" i="106" s="1"/>
  <c r="C17" i="4"/>
  <c r="G8" i="4"/>
  <c r="B2605" i="106"/>
  <c r="D2605" i="106" s="1"/>
  <c r="B2608" i="106"/>
  <c r="D2608" i="106" s="1"/>
  <c r="G17" i="4"/>
  <c r="B2554" i="106"/>
  <c r="D2554" i="106" s="1"/>
  <c r="C8" i="4"/>
  <c r="B5327" i="106"/>
  <c r="D5327" i="106" s="1"/>
  <c r="K115" i="29"/>
  <c r="B1153" i="106" s="1"/>
  <c r="D1153" i="106" s="1"/>
  <c r="A7260" i="106"/>
  <c r="D7259" i="106"/>
  <c r="K19" i="4" l="1"/>
  <c r="B4144" i="106" s="1"/>
  <c r="D4144" i="106" s="1"/>
  <c r="K20" i="4"/>
  <c r="B6230" i="106"/>
  <c r="D6230" i="106" s="1"/>
  <c r="D10" i="4"/>
  <c r="B4123" i="106" s="1"/>
  <c r="D4123" i="106" s="1"/>
  <c r="B2568" i="106"/>
  <c r="D2568" i="106" s="1"/>
  <c r="D20" i="4"/>
  <c r="B2574" i="106" s="1"/>
  <c r="D2574" i="106" s="1"/>
  <c r="C10" i="4"/>
  <c r="B4122" i="106" s="1"/>
  <c r="D4122" i="106" s="1"/>
  <c r="B8" i="146"/>
  <c r="B2555" i="106"/>
  <c r="D2555" i="106" s="1"/>
  <c r="C20" i="4"/>
  <c r="G10" i="4"/>
  <c r="B4126" i="106" s="1"/>
  <c r="D4126" i="106" s="1"/>
  <c r="G20" i="4"/>
  <c r="B2606" i="106"/>
  <c r="D2606" i="106" s="1"/>
  <c r="A7261" i="106"/>
  <c r="D7260" i="106"/>
  <c r="G19" i="4"/>
  <c r="B4140" i="106" s="1"/>
  <c r="D4140" i="106" s="1"/>
  <c r="B2612" i="106"/>
  <c r="D2612" i="106" s="1"/>
  <c r="B9" i="146"/>
  <c r="B2561" i="106"/>
  <c r="D2561" i="106" s="1"/>
  <c r="C19" i="4"/>
  <c r="B4136" i="106" s="1"/>
  <c r="D4136" i="106" s="1"/>
  <c r="B288" i="106"/>
  <c r="D288" i="106" s="1"/>
  <c r="B2662" i="106"/>
  <c r="D2662" i="106" s="1"/>
  <c r="B2573" i="106"/>
  <c r="D2573" i="106" s="1"/>
  <c r="D19" i="4"/>
  <c r="B4137" i="106" s="1"/>
  <c r="D4137" i="106" s="1"/>
  <c r="C9" i="146"/>
  <c r="C10" i="146" s="1"/>
  <c r="B3576" i="106"/>
  <c r="D3576" i="106" s="1"/>
  <c r="B6263" i="106"/>
  <c r="D6263" i="106" s="1"/>
  <c r="D78" i="4" l="1"/>
  <c r="B3239" i="106" s="1"/>
  <c r="D3239" i="106" s="1"/>
  <c r="A7262" i="106"/>
  <c r="D7261" i="106"/>
  <c r="G78" i="4"/>
  <c r="B2613" i="106"/>
  <c r="D2613" i="106" s="1"/>
  <c r="B2562" i="106"/>
  <c r="D2562" i="106" s="1"/>
  <c r="C78" i="4"/>
  <c r="B10" i="146"/>
  <c r="D81" i="4" l="1"/>
  <c r="D82" i="4" s="1"/>
  <c r="B3233" i="106"/>
  <c r="D3233" i="106" s="1"/>
  <c r="A7263" i="106"/>
  <c r="D7262" i="106"/>
  <c r="G81" i="4"/>
  <c r="B3262" i="106"/>
  <c r="D3262" i="106" s="1"/>
  <c r="B1644" i="106" l="1"/>
  <c r="D1644" i="106" s="1"/>
  <c r="C11" i="146"/>
  <c r="G82" i="4"/>
  <c r="B1686" i="106"/>
  <c r="D1686" i="106" s="1"/>
  <c r="A7264" i="106"/>
  <c r="D7263" i="106"/>
  <c r="B6268" i="106"/>
  <c r="D6268" i="106" s="1"/>
  <c r="D83" i="4"/>
  <c r="B6277" i="106" s="1"/>
  <c r="D6277" i="106" s="1"/>
  <c r="A7265" i="106" l="1"/>
  <c r="D7264" i="106"/>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590" i="106"/>
  <c r="D3590"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B2848" i="106"/>
  <c r="D2848" i="106" s="1"/>
  <c r="H76" i="4"/>
  <c r="B6257" i="106"/>
  <c r="D6257" i="106" s="1"/>
  <c r="D13" i="3"/>
  <c r="D34" i="36"/>
  <c r="B1687" i="106"/>
  <c r="D1687" i="106" s="1"/>
  <c r="D35" i="36" l="1"/>
  <c r="B3414" i="106"/>
  <c r="D3414" i="106" s="1"/>
  <c r="B3411" i="106"/>
  <c r="D3411" i="106" s="1"/>
  <c r="C13" i="3"/>
  <c r="B77" i="106" s="1"/>
  <c r="D77" i="106" s="1"/>
  <c r="B3298" i="106"/>
  <c r="D3298" i="106" s="1"/>
  <c r="H77" i="4"/>
  <c r="B6285" i="106"/>
  <c r="D6285" i="106" s="1"/>
  <c r="B3589" i="106"/>
  <c r="D3589" i="106" s="1"/>
  <c r="B6264" i="106"/>
  <c r="D6264" i="106" s="1"/>
  <c r="J81" i="4"/>
  <c r="B109" i="106"/>
  <c r="D109" i="106" s="1"/>
  <c r="B3299" i="106" l="1"/>
  <c r="D3299" i="106" s="1"/>
  <c r="H78" i="4"/>
  <c r="J82" i="4"/>
  <c r="B6266" i="106"/>
  <c r="D6266" i="106" s="1"/>
  <c r="B1617" i="106"/>
  <c r="D1617" i="106" s="1"/>
  <c r="C81" i="4"/>
  <c r="B3300" i="106" l="1"/>
  <c r="D3300" i="106" s="1"/>
  <c r="H81" i="4"/>
  <c r="J83" i="4"/>
  <c r="B6283" i="106" s="1"/>
  <c r="D6283" i="106" s="1"/>
  <c r="B6274" i="106"/>
  <c r="D6274" i="106" s="1"/>
  <c r="B11" i="146"/>
  <c r="C82" i="4"/>
  <c r="B1630" i="106"/>
  <c r="D1630" i="106" s="1"/>
  <c r="B1700" i="106" l="1"/>
  <c r="D1700" i="106" s="1"/>
  <c r="H82" i="4"/>
  <c r="B6267" i="106"/>
  <c r="D6267" i="106" s="1"/>
  <c r="C83" i="4"/>
  <c r="B6276" i="106" s="1"/>
  <c r="D6276" i="106" s="1"/>
  <c r="H83" i="4" l="1"/>
  <c r="B6281" i="106" s="1"/>
  <c r="D6281" i="106" s="1"/>
  <c r="B6272" i="106"/>
  <c r="D6272" i="106" s="1"/>
  <c r="F168" i="34" l="1"/>
  <c r="B7815" i="106"/>
  <c r="D7815" i="106" s="1"/>
  <c r="F167" i="34"/>
  <c r="B7811" i="106"/>
  <c r="D7811" i="106" s="1"/>
  <c r="K158" i="29" l="1"/>
  <c r="B7780" i="106" s="1"/>
  <c r="D7780" i="106" s="1"/>
  <c r="B7779" i="106"/>
  <c r="D7779" i="106" s="1"/>
  <c r="B7781" i="106"/>
  <c r="D7781" i="106" s="1"/>
  <c r="K159" i="29"/>
  <c r="B7782" i="106" s="1"/>
  <c r="D7782" i="106" s="1"/>
  <c r="F160" i="34" l="1"/>
  <c r="B7867" i="106" s="1"/>
  <c r="D7867" i="106" s="1"/>
  <c r="B7768" i="106"/>
  <c r="D7768" i="106" s="1"/>
  <c r="B6105" i="106"/>
  <c r="D6105" i="106" s="1"/>
  <c r="B6101" i="106"/>
  <c r="D6101" i="106" s="1"/>
  <c r="B2637" i="106"/>
  <c r="D2637" i="106" s="1"/>
  <c r="B2602" i="106"/>
  <c r="D2602" i="106" s="1"/>
  <c r="B3322" i="106"/>
  <c r="D3322" i="106" s="1"/>
  <c r="B6322" i="106"/>
  <c r="D6322" i="106" s="1"/>
  <c r="B6323" i="106"/>
  <c r="D6323" i="106" s="1"/>
  <c r="B6326" i="106"/>
  <c r="D6326" i="106" s="1"/>
  <c r="B5523" i="106"/>
  <c r="D5523" i="106" s="1"/>
  <c r="B5585" i="106"/>
  <c r="D5585" i="106" s="1"/>
  <c r="B6332" i="106"/>
  <c r="D6332" i="106" s="1"/>
  <c r="B6333" i="106"/>
  <c r="D6333" i="106" s="1"/>
  <c r="B6336" i="106"/>
  <c r="D6336" i="106" s="1"/>
  <c r="B6342" i="106"/>
  <c r="D6342" i="106" s="1"/>
  <c r="B6343" i="106"/>
  <c r="D6343" i="106" s="1"/>
  <c r="B6346" i="106"/>
  <c r="D6346" i="106" s="1"/>
  <c r="B7728" i="106"/>
  <c r="D7728" i="106" s="1"/>
  <c r="B5524" i="106"/>
  <c r="D5524" i="106" s="1"/>
  <c r="B7045" i="106"/>
  <c r="D7045" i="106" s="1"/>
  <c r="B7046" i="106"/>
  <c r="D7046" i="106" s="1"/>
  <c r="B5525" i="106"/>
  <c r="D5525" i="106" s="1"/>
  <c r="B5586" i="106"/>
  <c r="D5586" i="106" s="1"/>
  <c r="B5929" i="106"/>
  <c r="D5929" i="106" s="1"/>
  <c r="B5920" i="106"/>
  <c r="D5920" i="106" s="1"/>
  <c r="B5921" i="106"/>
  <c r="D5921" i="106" s="1"/>
  <c r="B5922" i="106"/>
  <c r="D5922" i="106" s="1"/>
  <c r="B651" i="106"/>
  <c r="D651" i="106" s="1"/>
  <c r="B652" i="106"/>
  <c r="D652" i="106" s="1"/>
  <c r="B653" i="106"/>
  <c r="D653" i="106" s="1"/>
  <c r="B3316" i="106"/>
  <c r="D3316" i="106" s="1"/>
  <c r="B6259" i="106"/>
  <c r="D6259"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27" i="106"/>
  <c r="D5627"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61" i="106"/>
  <c r="D6661" i="106" s="1"/>
  <c r="B6699" i="106"/>
  <c r="D6699" i="106" s="1"/>
  <c r="B6707" i="106"/>
  <c r="D6707" i="106" s="1"/>
  <c r="B6748" i="106"/>
  <c r="D6748" i="106" s="1"/>
  <c r="B6788" i="106"/>
  <c r="D6788" i="106" s="1"/>
  <c r="B4085" i="106"/>
  <c r="D4085" i="106" s="1"/>
  <c r="B1335" i="106"/>
  <c r="D133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3085" i="106"/>
  <c r="D3085" i="106" s="1"/>
  <c r="B3251" i="106"/>
  <c r="D3251" i="106" s="1"/>
  <c r="B6254" i="106"/>
  <c r="D6254" i="106" s="1"/>
  <c r="B3253" i="106"/>
  <c r="D3253" i="106" s="1"/>
  <c r="B129" i="106"/>
  <c r="D129" i="106" s="1"/>
  <c r="B6166" i="106"/>
  <c r="D6166" i="106" s="1"/>
  <c r="B6157" i="106"/>
  <c r="D6157" i="106" s="1"/>
  <c r="B6148" i="106"/>
  <c r="D6148" i="106" s="1"/>
  <c r="B2880" i="106"/>
  <c r="D2880"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130" i="106"/>
  <c r="D130" i="106" s="1"/>
  <c r="B6119" i="106"/>
  <c r="D6119" i="106" s="1"/>
  <c r="B2887" i="106"/>
  <c r="D2887" i="106" s="1"/>
  <c r="B2908" i="106"/>
  <c r="D2908" i="106" s="1"/>
  <c r="L160" i="29"/>
  <c r="B134" i="106"/>
  <c r="D134" i="106" s="1"/>
  <c r="B6153" i="106"/>
  <c r="D6153" i="106" s="1"/>
  <c r="B153" i="106"/>
  <c r="D153" i="106" s="1"/>
  <c r="B2885" i="106"/>
  <c r="D2885" i="106" s="1"/>
  <c r="B5512" i="106" l="1"/>
  <c r="D5512" i="106" s="1"/>
  <c r="K165" i="29"/>
  <c r="B2818" i="106" s="1"/>
  <c r="D2818" i="106" s="1"/>
  <c r="B2812" i="106"/>
  <c r="D2812" i="106" s="1"/>
  <c r="B3699" i="106"/>
  <c r="D3699" i="106" s="1"/>
  <c r="K53" i="4"/>
  <c r="B1310" i="106"/>
  <c r="D1310" i="106" s="1"/>
  <c r="K163" i="29"/>
  <c r="H168" i="29"/>
  <c r="B6368" i="106"/>
  <c r="D6368" i="106" s="1"/>
  <c r="E169" i="5"/>
  <c r="B5537" i="106" s="1"/>
  <c r="D5537" i="106" s="1"/>
  <c r="E18" i="5"/>
  <c r="B5518" i="106" s="1"/>
  <c r="D5518" i="106" s="1"/>
  <c r="B5514" i="106"/>
  <c r="D5514" i="106" s="1"/>
  <c r="B2817" i="106"/>
  <c r="D2817" i="106" s="1"/>
  <c r="E76" i="4"/>
  <c r="B3276" i="106" s="1"/>
  <c r="D3276" i="106" s="1"/>
  <c r="K157" i="29"/>
  <c r="B7777" i="106"/>
  <c r="D7777" i="106" s="1"/>
  <c r="H160" i="29"/>
  <c r="B7053" i="106" s="1"/>
  <c r="D7053" i="106" s="1"/>
  <c r="B6127" i="106"/>
  <c r="D6127" i="106" s="1"/>
  <c r="E34" i="3"/>
  <c r="B139" i="106" s="1"/>
  <c r="D139" i="106" s="1"/>
  <c r="B7750" i="106"/>
  <c r="D7750" i="106" s="1"/>
  <c r="E44" i="4"/>
  <c r="B5522" i="106"/>
  <c r="D5522" i="106" s="1"/>
  <c r="E108" i="5"/>
  <c r="B5526" i="106" s="1"/>
  <c r="D5526" i="106" s="1"/>
  <c r="B3417" i="106"/>
  <c r="D3417" i="106" s="1"/>
  <c r="D36" i="36"/>
  <c r="E13" i="3"/>
  <c r="B131" i="106" s="1"/>
  <c r="D131" i="106" s="1"/>
  <c r="E122" i="5"/>
  <c r="B5528" i="106"/>
  <c r="D5528" i="106" s="1"/>
  <c r="B1311" i="106"/>
  <c r="D1311" i="106" s="1"/>
  <c r="K164" i="29"/>
  <c r="B1325" i="106" s="1"/>
  <c r="D1325" i="106" s="1"/>
  <c r="B1307" i="106"/>
  <c r="D1307" i="106" s="1"/>
  <c r="E172" i="29"/>
  <c r="K171" i="29"/>
  <c r="B1330" i="106" s="1"/>
  <c r="D1330" i="106" s="1"/>
  <c r="E252" i="5"/>
  <c r="B6714" i="106"/>
  <c r="D6714" i="106" s="1"/>
  <c r="B15" i="7"/>
  <c r="B5511" i="106"/>
  <c r="D5511" i="106" s="1"/>
  <c r="D69" i="36"/>
  <c r="B1315" i="106"/>
  <c r="D1315" i="106" s="1"/>
  <c r="K170" i="29"/>
  <c r="L168" i="29"/>
  <c r="L172" i="29" s="1"/>
  <c r="L174" i="29" s="1"/>
  <c r="B1312" i="106"/>
  <c r="D1312" i="106" s="1"/>
  <c r="K169" i="29"/>
  <c r="B1326" i="106" s="1"/>
  <c r="D1326" i="106" s="1"/>
  <c r="B4364" i="106"/>
  <c r="D4364" i="106" s="1"/>
  <c r="E175" i="5"/>
  <c r="B5519" i="106"/>
  <c r="D5519" i="106" s="1"/>
  <c r="B1313" i="106"/>
  <c r="D1313" i="106" s="1"/>
  <c r="K167" i="29"/>
  <c r="B1327" i="106" s="1"/>
  <c r="D1327" i="106" s="1"/>
  <c r="B2813" i="106"/>
  <c r="D2813" i="106" s="1"/>
  <c r="K166" i="29"/>
  <c r="B2819" i="106" s="1"/>
  <c r="D2819" i="106" s="1"/>
  <c r="I108" i="5"/>
  <c r="B5930" i="106" s="1"/>
  <c r="D5930" i="106" s="1"/>
  <c r="B5927" i="106"/>
  <c r="D5927" i="106" s="1"/>
  <c r="B5919" i="106"/>
  <c r="D5919" i="106" s="1"/>
  <c r="I18" i="5"/>
  <c r="B5923" i="106" s="1"/>
  <c r="D5923" i="106" s="1"/>
  <c r="B2772" i="106"/>
  <c r="D2772" i="106" s="1"/>
  <c r="I44" i="4"/>
  <c r="B3317" i="106" s="1"/>
  <c r="D3317" i="106" s="1"/>
  <c r="B5917" i="106"/>
  <c r="D5917" i="106" s="1"/>
  <c r="B4215" i="106"/>
  <c r="D4215" i="106" s="1"/>
  <c r="I169" i="5"/>
  <c r="I34" i="3"/>
  <c r="B2910" i="106" s="1"/>
  <c r="D2910" i="106" s="1"/>
  <c r="B6139" i="106"/>
  <c r="D6139" i="106" s="1"/>
  <c r="B5924" i="106"/>
  <c r="D5924" i="106" s="1"/>
  <c r="D37" i="36"/>
  <c r="B6820" i="106"/>
  <c r="D6820" i="106" s="1"/>
  <c r="F156" i="34"/>
  <c r="B5024" i="106"/>
  <c r="D5024" i="106" s="1"/>
  <c r="B4210" i="106"/>
  <c r="D4210" i="106" s="1"/>
  <c r="K206" i="29"/>
  <c r="B2993" i="106"/>
  <c r="D2993" i="106" s="1"/>
  <c r="K192" i="29"/>
  <c r="B3011" i="106" s="1"/>
  <c r="D3011" i="106" s="1"/>
  <c r="B1338" i="106"/>
  <c r="D1338" i="106" s="1"/>
  <c r="B4416" i="106"/>
  <c r="D4416" i="106" s="1"/>
  <c r="F162" i="34"/>
  <c r="B7869" i="106" s="1"/>
  <c r="D7869" i="106" s="1"/>
  <c r="B6653" i="106"/>
  <c r="D6653" i="106" s="1"/>
  <c r="F138" i="34"/>
  <c r="F204" i="5"/>
  <c r="B5664" i="106"/>
  <c r="D5664" i="106" s="1"/>
  <c r="F119" i="34"/>
  <c r="B7853" i="106" s="1"/>
  <c r="D7853" i="106" s="1"/>
  <c r="B6391" i="106"/>
  <c r="D6391" i="106" s="1"/>
  <c r="B5571" i="106"/>
  <c r="D5571" i="106" s="1"/>
  <c r="F23" i="34"/>
  <c r="K205" i="29"/>
  <c r="B7068" i="106" s="1"/>
  <c r="D7068" i="106" s="1"/>
  <c r="B7067" i="106"/>
  <c r="D7067" i="106" s="1"/>
  <c r="B4084" i="106"/>
  <c r="D4084" i="106" s="1"/>
  <c r="F184" i="29"/>
  <c r="F161" i="34"/>
  <c r="B7868" i="106" s="1"/>
  <c r="D7868" i="106" s="1"/>
  <c r="B5705" i="106"/>
  <c r="D5705" i="106" s="1"/>
  <c r="F147" i="34"/>
  <c r="B6740" i="106"/>
  <c r="D6740" i="106" s="1"/>
  <c r="F137" i="34"/>
  <c r="B6645" i="106"/>
  <c r="D6645" i="106" s="1"/>
  <c r="B4918" i="106"/>
  <c r="D4918" i="106" s="1"/>
  <c r="F118" i="34"/>
  <c r="B7852" i="106" s="1"/>
  <c r="D7852" i="106" s="1"/>
  <c r="B5580" i="106"/>
  <c r="D5580" i="106" s="1"/>
  <c r="F89" i="34"/>
  <c r="B5570" i="106"/>
  <c r="D5570" i="106" s="1"/>
  <c r="B6293" i="106"/>
  <c r="D6293" i="106" s="1"/>
  <c r="D73" i="36"/>
  <c r="K203" i="29"/>
  <c r="B1385" i="106" s="1"/>
  <c r="D1385" i="106" s="1"/>
  <c r="B1373" i="106"/>
  <c r="D1373" i="106" s="1"/>
  <c r="K191" i="29"/>
  <c r="B3010" i="106" s="1"/>
  <c r="D3010" i="106" s="1"/>
  <c r="B2992" i="106"/>
  <c r="D2992" i="106" s="1"/>
  <c r="E184" i="29"/>
  <c r="B4083" i="106"/>
  <c r="D4083" i="106" s="1"/>
  <c r="B6828" i="106"/>
  <c r="D6828" i="106" s="1"/>
  <c r="F157" i="34"/>
  <c r="F146" i="34"/>
  <c r="B6732" i="106"/>
  <c r="D6732" i="106" s="1"/>
  <c r="B6637" i="106"/>
  <c r="D6637" i="106" s="1"/>
  <c r="F136" i="34"/>
  <c r="B6315" i="106"/>
  <c r="D6315" i="106" s="1"/>
  <c r="F28" i="34"/>
  <c r="F22" i="34"/>
  <c r="B6313" i="106"/>
  <c r="D6313" i="106" s="1"/>
  <c r="B5558" i="106"/>
  <c r="D5558" i="106" s="1"/>
  <c r="F18" i="5"/>
  <c r="B5562" i="106" s="1"/>
  <c r="D5562" i="106" s="1"/>
  <c r="B5027" i="106"/>
  <c r="D5027" i="106" s="1"/>
  <c r="F104" i="34"/>
  <c r="B7841" i="106" s="1"/>
  <c r="D7841" i="106" s="1"/>
  <c r="B4342" i="106"/>
  <c r="D4342" i="106" s="1"/>
  <c r="F132" i="34"/>
  <c r="B7864" i="106" s="1"/>
  <c r="D7864" i="106" s="1"/>
  <c r="B5695" i="106"/>
  <c r="D5695" i="106" s="1"/>
  <c r="F129" i="34"/>
  <c r="B7861" i="106" s="1"/>
  <c r="D7861" i="106" s="1"/>
  <c r="B5569" i="106"/>
  <c r="D5569" i="106" s="1"/>
  <c r="F21" i="34"/>
  <c r="B2831" i="106"/>
  <c r="D2831" i="106" s="1"/>
  <c r="K201" i="29"/>
  <c r="B2841" i="106" s="1"/>
  <c r="D2841" i="106" s="1"/>
  <c r="K190" i="29"/>
  <c r="B3009" i="106" s="1"/>
  <c r="D3009" i="106" s="1"/>
  <c r="B2991" i="106"/>
  <c r="D2991" i="106" s="1"/>
  <c r="B2820" i="106"/>
  <c r="D2820" i="106" s="1"/>
  <c r="K185" i="29"/>
  <c r="F155" i="34"/>
  <c r="B6812" i="106"/>
  <c r="D6812" i="106" s="1"/>
  <c r="B6715" i="106"/>
  <c r="D6715" i="106" s="1"/>
  <c r="F144" i="34"/>
  <c r="F134" i="34"/>
  <c r="B6624" i="106"/>
  <c r="D6624" i="106" s="1"/>
  <c r="F188" i="5"/>
  <c r="B5659" i="106"/>
  <c r="D5659" i="106" s="1"/>
  <c r="B5619" i="106"/>
  <c r="D5619" i="106" s="1"/>
  <c r="F114" i="34"/>
  <c r="B7848" i="106" s="1"/>
  <c r="D7848" i="106" s="1"/>
  <c r="F132" i="5"/>
  <c r="B5600" i="106"/>
  <c r="D5600" i="106" s="1"/>
  <c r="B5577" i="106"/>
  <c r="D5577" i="106" s="1"/>
  <c r="F26" i="34"/>
  <c r="B5568" i="106"/>
  <c r="D5568" i="106" s="1"/>
  <c r="F20" i="34"/>
  <c r="B5583" i="106"/>
  <c r="D5583" i="106" s="1"/>
  <c r="F108" i="5"/>
  <c r="B5587" i="106" s="1"/>
  <c r="D5587" i="106" s="1"/>
  <c r="K202" i="29"/>
  <c r="B2842" i="106" s="1"/>
  <c r="D2842" i="106" s="1"/>
  <c r="B2832" i="106"/>
  <c r="D2832" i="106" s="1"/>
  <c r="B6629" i="106"/>
  <c r="D6629" i="106" s="1"/>
  <c r="F135" i="34"/>
  <c r="K200" i="29"/>
  <c r="B1384" i="106" s="1"/>
  <c r="D1384" i="106" s="1"/>
  <c r="B1372" i="106"/>
  <c r="D1372" i="106" s="1"/>
  <c r="B4855" i="106"/>
  <c r="D4855" i="106" s="1"/>
  <c r="F171" i="34"/>
  <c r="B7876" i="106" s="1"/>
  <c r="D7876" i="106" s="1"/>
  <c r="F154" i="34"/>
  <c r="B6804" i="106"/>
  <c r="D6804" i="106" s="1"/>
  <c r="B6617" i="106"/>
  <c r="D6617" i="106" s="1"/>
  <c r="F252" i="5"/>
  <c r="B6836" i="106" s="1"/>
  <c r="D6836" i="106" s="1"/>
  <c r="B5576" i="106"/>
  <c r="D5576" i="106" s="1"/>
  <c r="F25" i="34"/>
  <c r="B5567" i="106"/>
  <c r="D5567" i="106" s="1"/>
  <c r="F19" i="34"/>
  <c r="B3083" i="106"/>
  <c r="D3083" i="106" s="1"/>
  <c r="D68" i="36"/>
  <c r="H204" i="29"/>
  <c r="K199" i="29"/>
  <c r="B1371" i="106"/>
  <c r="D1371" i="106" s="1"/>
  <c r="K189" i="29"/>
  <c r="B3008" i="106" s="1"/>
  <c r="D3008" i="106" s="1"/>
  <c r="B2990" i="106"/>
  <c r="D2990" i="106" s="1"/>
  <c r="D17" i="171"/>
  <c r="F170" i="34"/>
  <c r="B7875" i="106" s="1"/>
  <c r="D7875" i="106" s="1"/>
  <c r="B4447" i="106"/>
  <c r="D4447" i="106" s="1"/>
  <c r="B6796" i="106"/>
  <c r="D6796" i="106" s="1"/>
  <c r="F153" i="34"/>
  <c r="B4804" i="106"/>
  <c r="D4804" i="106" s="1"/>
  <c r="F181" i="5"/>
  <c r="B7764" i="106"/>
  <c r="D7764" i="106" s="1"/>
  <c r="F94" i="34"/>
  <c r="F63" i="5"/>
  <c r="B5579" i="106" s="1"/>
  <c r="D5579" i="106" s="1"/>
  <c r="F131" i="34"/>
  <c r="B7863" i="106" s="1"/>
  <c r="D7863" i="106" s="1"/>
  <c r="B5697" i="106"/>
  <c r="D5697" i="106" s="1"/>
  <c r="F32" i="34"/>
  <c r="B7825" i="106" s="1"/>
  <c r="D7825" i="106" s="1"/>
  <c r="B5692" i="106"/>
  <c r="D5692" i="106" s="1"/>
  <c r="B6723" i="106"/>
  <c r="D6723" i="106" s="1"/>
  <c r="F145" i="34"/>
  <c r="L204" i="29"/>
  <c r="L208" i="29" s="1"/>
  <c r="B2763" i="106"/>
  <c r="D2763" i="106" s="1"/>
  <c r="H194" i="29"/>
  <c r="B2995" i="106"/>
  <c r="D2995" i="106" s="1"/>
  <c r="B1369" i="106"/>
  <c r="D1369" i="106" s="1"/>
  <c r="B4360" i="106"/>
  <c r="D4360" i="106" s="1"/>
  <c r="F169" i="34"/>
  <c r="B7874" i="106" s="1"/>
  <c r="D7874" i="106" s="1"/>
  <c r="B6692" i="106"/>
  <c r="D6692" i="106" s="1"/>
  <c r="F143" i="34"/>
  <c r="B5615" i="106"/>
  <c r="D5615" i="106" s="1"/>
  <c r="F155" i="5"/>
  <c r="B5575" i="106"/>
  <c r="D5575" i="106" s="1"/>
  <c r="F93" i="34"/>
  <c r="F87" i="34"/>
  <c r="B5566" i="106"/>
  <c r="D5566" i="106" s="1"/>
  <c r="B5625" i="106"/>
  <c r="D5625" i="106" s="1"/>
  <c r="F115" i="34"/>
  <c r="B7849" i="106" s="1"/>
  <c r="D7849" i="106" s="1"/>
  <c r="B5014" i="106"/>
  <c r="D5014" i="106" s="1"/>
  <c r="D71" i="36"/>
  <c r="K195" i="29"/>
  <c r="B2839" i="106" s="1"/>
  <c r="D2839" i="106" s="1"/>
  <c r="B2824" i="106"/>
  <c r="D2824" i="106" s="1"/>
  <c r="K188" i="29"/>
  <c r="B2989" i="106"/>
  <c r="D2989" i="106" s="1"/>
  <c r="E194" i="29"/>
  <c r="B4191" i="106"/>
  <c r="D4191" i="106" s="1"/>
  <c r="F166" i="34"/>
  <c r="B7873" i="106" s="1"/>
  <c r="D7873" i="106" s="1"/>
  <c r="F151" i="34"/>
  <c r="B6780" i="106"/>
  <c r="D6780" i="106" s="1"/>
  <c r="F142" i="34"/>
  <c r="B6685" i="106"/>
  <c r="D6685" i="106" s="1"/>
  <c r="B5673" i="106"/>
  <c r="D5673" i="106" s="1"/>
  <c r="F209" i="5"/>
  <c r="B5654" i="106"/>
  <c r="D5654" i="106" s="1"/>
  <c r="F175" i="5"/>
  <c r="F30" i="34"/>
  <c r="B7823" i="106" s="1"/>
  <c r="B4354" i="106"/>
  <c r="D4354" i="106" s="1"/>
  <c r="B5593" i="106"/>
  <c r="D5593" i="106" s="1"/>
  <c r="F122" i="5"/>
  <c r="B5574" i="106"/>
  <c r="D5574" i="106" s="1"/>
  <c r="F24" i="34"/>
  <c r="B5565" i="106"/>
  <c r="D5565" i="106" s="1"/>
  <c r="F86" i="34"/>
  <c r="B2762" i="106"/>
  <c r="D2762" i="106" s="1"/>
  <c r="I48" i="4"/>
  <c r="B2106" i="106" s="1"/>
  <c r="D2106" i="106" s="1"/>
  <c r="B7058" i="106"/>
  <c r="D7058" i="106" s="1"/>
  <c r="J184" i="29"/>
  <c r="F165" i="34"/>
  <c r="B7872" i="106" s="1"/>
  <c r="D7872" i="106" s="1"/>
  <c r="B4420" i="106"/>
  <c r="D4420" i="106" s="1"/>
  <c r="F150" i="34"/>
  <c r="B6772" i="106"/>
  <c r="D6772" i="106" s="1"/>
  <c r="B6677" i="106"/>
  <c r="D6677" i="106" s="1"/>
  <c r="F141" i="34"/>
  <c r="F29" i="34"/>
  <c r="B7881" i="106" s="1"/>
  <c r="D7881" i="106" s="1"/>
  <c r="B6369" i="106"/>
  <c r="D6369" i="106" s="1"/>
  <c r="B5573" i="106"/>
  <c r="D5573" i="106" s="1"/>
  <c r="F92" i="34"/>
  <c r="F18" i="34"/>
  <c r="B5564" i="106"/>
  <c r="D5564" i="106" s="1"/>
  <c r="B5578" i="106"/>
  <c r="D5578" i="106" s="1"/>
  <c r="F27" i="34"/>
  <c r="B7751" i="106"/>
  <c r="D7751" i="106" s="1"/>
  <c r="I47" i="4"/>
  <c r="B2994" i="106"/>
  <c r="D2994" i="106" s="1"/>
  <c r="K193" i="29"/>
  <c r="B3012" i="106" s="1"/>
  <c r="D3012" i="106" s="1"/>
  <c r="I184" i="29"/>
  <c r="B7057" i="106"/>
  <c r="D7057" i="106" s="1"/>
  <c r="B5710" i="106"/>
  <c r="D5710" i="106" s="1"/>
  <c r="F164" i="34"/>
  <c r="B7871" i="106" s="1"/>
  <c r="D7871" i="106" s="1"/>
  <c r="F149" i="34"/>
  <c r="B6764" i="106"/>
  <c r="D6764" i="106" s="1"/>
  <c r="F140" i="34"/>
  <c r="B6669" i="106"/>
  <c r="D6669" i="106" s="1"/>
  <c r="D12" i="171"/>
  <c r="B5590" i="106"/>
  <c r="D5590" i="106" s="1"/>
  <c r="B6314" i="106"/>
  <c r="D6314" i="106" s="1"/>
  <c r="F91" i="34"/>
  <c r="F85" i="34"/>
  <c r="B5563" i="106"/>
  <c r="D5563" i="106" s="1"/>
  <c r="B5696" i="106"/>
  <c r="D5696" i="106" s="1"/>
  <c r="F130" i="34"/>
  <c r="B7862" i="106" s="1"/>
  <c r="D7862" i="106" s="1"/>
  <c r="F31" i="34"/>
  <c r="B7824" i="106" s="1"/>
  <c r="F217" i="5"/>
  <c r="B5703" i="106" s="1"/>
  <c r="D5703" i="106" s="1"/>
  <c r="B5691" i="106"/>
  <c r="D5691" i="106" s="1"/>
  <c r="D184" i="29"/>
  <c r="B4082" i="106"/>
  <c r="D4082" i="106" s="1"/>
  <c r="K207" i="29"/>
  <c r="B7070" i="106" s="1"/>
  <c r="D7070" i="106" s="1"/>
  <c r="B7069" i="106"/>
  <c r="D7069" i="106" s="1"/>
  <c r="B4086" i="106"/>
  <c r="D4086" i="106" s="1"/>
  <c r="B5708" i="106"/>
  <c r="D5708" i="106" s="1"/>
  <c r="F163" i="34"/>
  <c r="B7870" i="106" s="1"/>
  <c r="D7870" i="106" s="1"/>
  <c r="F148" i="34"/>
  <c r="B6756" i="106"/>
  <c r="D6756" i="106" s="1"/>
  <c r="B4318" i="106"/>
  <c r="D4318" i="106" s="1"/>
  <c r="F120" i="34"/>
  <c r="B7854" i="106" s="1"/>
  <c r="D7854" i="106" s="1"/>
  <c r="B5589" i="106"/>
  <c r="D5589" i="106" s="1"/>
  <c r="F114" i="5"/>
  <c r="B5572" i="106"/>
  <c r="D5572" i="106" s="1"/>
  <c r="F90" i="34"/>
  <c r="F103" i="34"/>
  <c r="B7840" i="106" s="1"/>
  <c r="D7840" i="106" s="1"/>
  <c r="B5584" i="106"/>
  <c r="D5584" i="106" s="1"/>
  <c r="B3532" i="106"/>
  <c r="D3532" i="106" s="1"/>
  <c r="B280" i="106"/>
  <c r="D280" i="106" s="1"/>
  <c r="M41" i="3"/>
  <c r="B5581" i="106"/>
  <c r="D5581" i="106" s="1"/>
  <c r="B5520" i="106"/>
  <c r="D5520" i="106" s="1"/>
  <c r="B5925" i="106"/>
  <c r="D5925" i="106" s="1"/>
  <c r="B3084" i="106"/>
  <c r="D3084" i="106" s="1"/>
  <c r="B2840" i="106"/>
  <c r="D2840" i="106" s="1"/>
  <c r="B145" i="106"/>
  <c r="D145" i="106" s="1"/>
  <c r="B6087" i="106"/>
  <c r="D6087" i="106" s="1"/>
  <c r="B1645" i="106"/>
  <c r="D1645" i="106" s="1"/>
  <c r="B3321" i="106"/>
  <c r="D3321" i="106" s="1"/>
  <c r="B1659" i="106"/>
  <c r="D1659" i="106" s="1"/>
  <c r="H24" i="118" l="1"/>
  <c r="B3419" i="106"/>
  <c r="D3419" i="106" s="1"/>
  <c r="H184" i="29"/>
  <c r="B1370" i="106" s="1"/>
  <c r="D1370" i="106" s="1"/>
  <c r="L184" i="29"/>
  <c r="B1756" i="106"/>
  <c r="D1756" i="106" s="1"/>
  <c r="D15" i="7"/>
  <c r="B1772" i="106" s="1"/>
  <c r="D1772" i="106" s="1"/>
  <c r="E67" i="5"/>
  <c r="B5521" i="106" s="1"/>
  <c r="D5521" i="106" s="1"/>
  <c r="E266" i="5"/>
  <c r="B7747" i="106" s="1"/>
  <c r="D7747" i="106" s="1"/>
  <c r="B6835" i="106"/>
  <c r="D6835" i="106" s="1"/>
  <c r="B4372" i="106"/>
  <c r="D4372" i="106" s="1"/>
  <c r="B3274" i="106"/>
  <c r="D3274" i="106" s="1"/>
  <c r="E77" i="4"/>
  <c r="B3277" i="106" s="1"/>
  <c r="D3277" i="106" s="1"/>
  <c r="B1308" i="106"/>
  <c r="D1308" i="106" s="1"/>
  <c r="E174" i="29"/>
  <c r="B1309" i="106" s="1"/>
  <c r="D1309" i="106" s="1"/>
  <c r="B1314" i="106"/>
  <c r="D1314" i="106" s="1"/>
  <c r="H172" i="29"/>
  <c r="B1324" i="106"/>
  <c r="D1324" i="106" s="1"/>
  <c r="K168" i="29"/>
  <c r="B3703" i="106"/>
  <c r="D3703" i="106" s="1"/>
  <c r="K76" i="4"/>
  <c r="B1329" i="106"/>
  <c r="D1329" i="106" s="1"/>
  <c r="F61" i="34"/>
  <c r="B5534" i="106"/>
  <c r="D5534" i="106" s="1"/>
  <c r="E170" i="5"/>
  <c r="B7778" i="106"/>
  <c r="D7778" i="106" s="1"/>
  <c r="K160" i="29"/>
  <c r="B6" i="7"/>
  <c r="B5509" i="106"/>
  <c r="D5509" i="106" s="1"/>
  <c r="E12" i="5"/>
  <c r="B10" i="7"/>
  <c r="I12" i="5"/>
  <c r="B5916" i="106"/>
  <c r="D5916" i="106" s="1"/>
  <c r="B4363" i="106"/>
  <c r="D4363" i="106" s="1"/>
  <c r="I170" i="5"/>
  <c r="D40" i="36"/>
  <c r="B3427" i="106"/>
  <c r="D3427" i="106" s="1"/>
  <c r="I13" i="3"/>
  <c r="B2888" i="106" s="1"/>
  <c r="D2888" i="106" s="1"/>
  <c r="I67" i="5"/>
  <c r="B5926" i="106" s="1"/>
  <c r="D5926" i="106" s="1"/>
  <c r="L194" i="29"/>
  <c r="L196" i="29" s="1"/>
  <c r="D72" i="36"/>
  <c r="B1383" i="106"/>
  <c r="D1383" i="106" s="1"/>
  <c r="K204" i="29"/>
  <c r="H208" i="29"/>
  <c r="B1375" i="106" s="1"/>
  <c r="D1375" i="106" s="1"/>
  <c r="B4156" i="106"/>
  <c r="D4156" i="106" s="1"/>
  <c r="F62" i="34"/>
  <c r="B7833" i="106" s="1"/>
  <c r="D7833" i="106" s="1"/>
  <c r="G39" i="108"/>
  <c r="B2836" i="106"/>
  <c r="D2836" i="106" s="1"/>
  <c r="F14" i="4"/>
  <c r="B2597" i="106" s="1"/>
  <c r="D2597" i="106" s="1"/>
  <c r="E39" i="108"/>
  <c r="B5599" i="106"/>
  <c r="D5599" i="106" s="1"/>
  <c r="F88" i="34"/>
  <c r="B6312" i="106"/>
  <c r="D6312" i="106" s="1"/>
  <c r="B5614" i="106"/>
  <c r="D5614" i="106" s="1"/>
  <c r="F169" i="5"/>
  <c r="B5644" i="106" s="1"/>
  <c r="D5644" i="106" s="1"/>
  <c r="F106" i="34"/>
  <c r="B7842" i="106" s="1"/>
  <c r="D7842" i="106" s="1"/>
  <c r="F67" i="5"/>
  <c r="B5582" i="106" s="1"/>
  <c r="D5582" i="106" s="1"/>
  <c r="K183" i="29"/>
  <c r="B2828" i="106"/>
  <c r="D2828" i="106" s="1"/>
  <c r="H196" i="29"/>
  <c r="B2830" i="106" s="1"/>
  <c r="D2830" i="106" s="1"/>
  <c r="B7063" i="106"/>
  <c r="D7063" i="106" s="1"/>
  <c r="I210" i="29"/>
  <c r="B6128" i="106"/>
  <c r="D6128" i="106" s="1"/>
  <c r="F34" i="3"/>
  <c r="B169" i="106" s="1"/>
  <c r="D169" i="106" s="1"/>
  <c r="B5655" i="106"/>
  <c r="D5655" i="106" s="1"/>
  <c r="B3007" i="106"/>
  <c r="D3007" i="106" s="1"/>
  <c r="K194" i="29"/>
  <c r="F112" i="34"/>
  <c r="B7847" i="106" s="1"/>
  <c r="D7847" i="106" s="1"/>
  <c r="B5618" i="106"/>
  <c r="D5618" i="106" s="1"/>
  <c r="B5658" i="106"/>
  <c r="D5658" i="106" s="1"/>
  <c r="F124" i="34"/>
  <c r="B7856" i="106" s="1"/>
  <c r="D7856" i="106" s="1"/>
  <c r="F125" i="34"/>
  <c r="B7857" i="106" s="1"/>
  <c r="D7857" i="106" s="1"/>
  <c r="F266" i="5"/>
  <c r="B5713" i="106" s="1"/>
  <c r="D5713" i="106" s="1"/>
  <c r="B4397" i="106"/>
  <c r="D4397" i="106" s="1"/>
  <c r="B4211" i="106"/>
  <c r="D4211" i="106" s="1"/>
  <c r="F64" i="34"/>
  <c r="B5592" i="106"/>
  <c r="D5592" i="106" s="1"/>
  <c r="F5" i="4"/>
  <c r="B3408" i="106" s="1"/>
  <c r="D3408" i="106" s="1"/>
  <c r="B2105" i="106"/>
  <c r="D2105" i="106" s="1"/>
  <c r="I76" i="4"/>
  <c r="B1345" i="106"/>
  <c r="D1345" i="106" s="1"/>
  <c r="D210" i="29"/>
  <c r="B1346" i="106" s="1"/>
  <c r="D1346" i="106" s="1"/>
  <c r="F122" i="34"/>
  <c r="B7855" i="106" s="1"/>
  <c r="D7855" i="106" s="1"/>
  <c r="B4795" i="106"/>
  <c r="D4795" i="106" s="1"/>
  <c r="B4413" i="106"/>
  <c r="D4413" i="106" s="1"/>
  <c r="F128" i="34"/>
  <c r="B7860" i="106" s="1"/>
  <c r="D7860" i="106" s="1"/>
  <c r="F158" i="34"/>
  <c r="B7866" i="106" s="1"/>
  <c r="D7866" i="106" s="1"/>
  <c r="F76" i="4"/>
  <c r="B3254" i="106" s="1"/>
  <c r="D3254" i="106" s="1"/>
  <c r="K180" i="29"/>
  <c r="B4081" i="106"/>
  <c r="D4081" i="106" s="1"/>
  <c r="C184" i="29"/>
  <c r="B5555" i="106"/>
  <c r="D5555" i="106" s="1"/>
  <c r="B14" i="7"/>
  <c r="B5677" i="106"/>
  <c r="D5677" i="106" s="1"/>
  <c r="F127" i="34"/>
  <c r="B7859" i="106" s="1"/>
  <c r="D7859" i="106" s="1"/>
  <c r="B7064" i="106"/>
  <c r="D7064" i="106" s="1"/>
  <c r="J210" i="29"/>
  <c r="B7072" i="106" s="1"/>
  <c r="D7072" i="106" s="1"/>
  <c r="E196" i="29"/>
  <c r="B1352" i="106" s="1"/>
  <c r="D1352" i="106" s="1"/>
  <c r="B2823" i="106"/>
  <c r="D2823" i="106" s="1"/>
  <c r="F13" i="3"/>
  <c r="B157" i="106" s="1"/>
  <c r="D157" i="106" s="1"/>
  <c r="B7" i="7"/>
  <c r="F12" i="5"/>
  <c r="B5553" i="106"/>
  <c r="D5553" i="106" s="1"/>
  <c r="B1351" i="106"/>
  <c r="D1351" i="106" s="1"/>
  <c r="F44" i="4"/>
  <c r="B3252" i="106" s="1"/>
  <c r="D3252" i="106" s="1"/>
  <c r="B18" i="7"/>
  <c r="B5556" i="106"/>
  <c r="D5556" i="106" s="1"/>
  <c r="B1358" i="106"/>
  <c r="D1358" i="106" s="1"/>
  <c r="F210" i="29"/>
  <c r="B1359" i="106" s="1"/>
  <c r="D1359" i="106" s="1"/>
  <c r="B1360" i="106"/>
  <c r="D1360" i="106" s="1"/>
  <c r="G184" i="29"/>
  <c r="K182" i="29"/>
  <c r="B281" i="106"/>
  <c r="D281" i="106" s="1"/>
  <c r="D54" i="36"/>
  <c r="L210" i="29" l="1"/>
  <c r="E210" i="29"/>
  <c r="B1353" i="106" s="1"/>
  <c r="D1353" i="106" s="1"/>
  <c r="E267" i="5"/>
  <c r="E7" i="4" s="1"/>
  <c r="B4443" i="106" s="1"/>
  <c r="D4443" i="106" s="1"/>
  <c r="D6" i="7"/>
  <c r="B1762" i="106" s="1"/>
  <c r="D1762" i="106" s="1"/>
  <c r="B1746" i="106"/>
  <c r="D1746" i="106" s="1"/>
  <c r="F60" i="34"/>
  <c r="B1323" i="106"/>
  <c r="D1323" i="106" s="1"/>
  <c r="E15" i="4"/>
  <c r="B5544" i="106"/>
  <c r="D5544" i="106" s="1"/>
  <c r="E6" i="4"/>
  <c r="B2631" i="106" s="1"/>
  <c r="D2631" i="106" s="1"/>
  <c r="B4434" i="106"/>
  <c r="D4434" i="106" s="1"/>
  <c r="B3586" i="106"/>
  <c r="D3586" i="106" s="1"/>
  <c r="K77" i="4"/>
  <c r="K172" i="29"/>
  <c r="B1328" i="106"/>
  <c r="D1328" i="106" s="1"/>
  <c r="B5513" i="106"/>
  <c r="D5513" i="106" s="1"/>
  <c r="E109" i="5"/>
  <c r="H174" i="29"/>
  <c r="B1318" i="106" s="1"/>
  <c r="D1318" i="106" s="1"/>
  <c r="B1317" i="106"/>
  <c r="D1317" i="106" s="1"/>
  <c r="B4216" i="106"/>
  <c r="D4216" i="106" s="1"/>
  <c r="I6" i="4"/>
  <c r="B5011" i="106" s="1"/>
  <c r="D5011" i="106" s="1"/>
  <c r="B5918" i="106"/>
  <c r="D5918" i="106" s="1"/>
  <c r="I109" i="5"/>
  <c r="B1749" i="106"/>
  <c r="D1749" i="106" s="1"/>
  <c r="D10" i="7"/>
  <c r="B1765" i="106" s="1"/>
  <c r="D1765" i="106" s="1"/>
  <c r="F170" i="5"/>
  <c r="B5653" i="106" s="1"/>
  <c r="D5653" i="106" s="1"/>
  <c r="B4103" i="106"/>
  <c r="D4103" i="106" s="1"/>
  <c r="D18" i="7"/>
  <c r="B4105" i="106" s="1"/>
  <c r="D4105" i="106" s="1"/>
  <c r="B7071" i="106"/>
  <c r="D7071" i="106" s="1"/>
  <c r="F66" i="34"/>
  <c r="F17" i="11"/>
  <c r="F175" i="34"/>
  <c r="B7877" i="106" s="1"/>
  <c r="D7877" i="106" s="1"/>
  <c r="B5557" i="106"/>
  <c r="D5557" i="106" s="1"/>
  <c r="F109" i="5"/>
  <c r="B1754" i="106"/>
  <c r="D1754" i="106" s="1"/>
  <c r="D14" i="7"/>
  <c r="B1770" i="106" s="1"/>
  <c r="D1770" i="106" s="1"/>
  <c r="B1380" i="106"/>
  <c r="D1380" i="106" s="1"/>
  <c r="G38" i="108"/>
  <c r="E38" i="108"/>
  <c r="B1747" i="106"/>
  <c r="D1747" i="106" s="1"/>
  <c r="D7" i="7"/>
  <c r="B19" i="7"/>
  <c r="B1759" i="106" s="1"/>
  <c r="D1759" i="106" s="1"/>
  <c r="B3318" i="106"/>
  <c r="D3318" i="106" s="1"/>
  <c r="I77" i="4"/>
  <c r="F77" i="4"/>
  <c r="B3255" i="106" s="1"/>
  <c r="D3255" i="106" s="1"/>
  <c r="H210" i="29"/>
  <c r="B1376" i="106" s="1"/>
  <c r="D1376" i="106" s="1"/>
  <c r="B1339" i="106"/>
  <c r="D1339" i="106" s="1"/>
  <c r="C210" i="29"/>
  <c r="B1340" i="106" s="1"/>
  <c r="D1340" i="106" s="1"/>
  <c r="K196" i="29"/>
  <c r="B2837" i="106"/>
  <c r="D2837" i="106" s="1"/>
  <c r="B4087" i="106"/>
  <c r="D4087" i="106" s="1"/>
  <c r="G21" i="108"/>
  <c r="E21" i="108"/>
  <c r="F267" i="5"/>
  <c r="K208" i="29"/>
  <c r="B4157" i="106"/>
  <c r="D4157" i="106" s="1"/>
  <c r="B1377" i="106"/>
  <c r="D1377" i="106" s="1"/>
  <c r="K184" i="29"/>
  <c r="G29" i="108"/>
  <c r="E29" i="108"/>
  <c r="B1364" i="106"/>
  <c r="D1364" i="106" s="1"/>
  <c r="G210" i="29"/>
  <c r="E41" i="108" l="1"/>
  <c r="E44" i="108" s="1"/>
  <c r="E45" i="108" s="1"/>
  <c r="G41" i="108"/>
  <c r="G44" i="108" s="1"/>
  <c r="G45" i="108" s="1"/>
  <c r="K174" i="29"/>
  <c r="B1331" i="106"/>
  <c r="D1331" i="106" s="1"/>
  <c r="E16" i="4"/>
  <c r="B2634" i="106" s="1"/>
  <c r="D2634" i="106" s="1"/>
  <c r="K78" i="4"/>
  <c r="B3587" i="106"/>
  <c r="D3587" i="106" s="1"/>
  <c r="B2633" i="106"/>
  <c r="D2633" i="106" s="1"/>
  <c r="E4" i="4"/>
  <c r="B5527" i="106"/>
  <c r="D5527" i="106" s="1"/>
  <c r="E268" i="5"/>
  <c r="B6026" i="106"/>
  <c r="D6026" i="106" s="1"/>
  <c r="I4" i="4"/>
  <c r="I268" i="5"/>
  <c r="B5946" i="106" s="1"/>
  <c r="D5946" i="106" s="1"/>
  <c r="F6" i="4"/>
  <c r="B2593" i="106" s="1"/>
  <c r="D2593" i="106" s="1"/>
  <c r="F4" i="4"/>
  <c r="B5588" i="106"/>
  <c r="D5588" i="106" s="1"/>
  <c r="F268" i="5"/>
  <c r="B5720" i="106" s="1"/>
  <c r="D5720" i="106" s="1"/>
  <c r="B3319" i="106"/>
  <c r="D3319" i="106" s="1"/>
  <c r="F16" i="4"/>
  <c r="B2599" i="106" s="1"/>
  <c r="D2599" i="106" s="1"/>
  <c r="B1387" i="106"/>
  <c r="D1387" i="106" s="1"/>
  <c r="B7624" i="106"/>
  <c r="D7624" i="106" s="1"/>
  <c r="I17" i="11"/>
  <c r="F7" i="4"/>
  <c r="B5719" i="106"/>
  <c r="D5719" i="106" s="1"/>
  <c r="B1763" i="106"/>
  <c r="D1763" i="106" s="1"/>
  <c r="D19" i="7"/>
  <c r="B1775" i="106" s="1"/>
  <c r="D1775" i="106" s="1"/>
  <c r="F63" i="34"/>
  <c r="F15" i="4"/>
  <c r="B2598" i="106" s="1"/>
  <c r="D2598" i="106" s="1"/>
  <c r="B1382" i="106"/>
  <c r="D1382" i="106" s="1"/>
  <c r="B1365" i="106"/>
  <c r="D1365" i="106" s="1"/>
  <c r="F65" i="34"/>
  <c r="F13" i="4"/>
  <c r="B1381" i="106"/>
  <c r="D1381" i="106" s="1"/>
  <c r="K210" i="29"/>
  <c r="E17" i="4" l="1"/>
  <c r="B2635" i="106" s="1"/>
  <c r="D2635" i="106" s="1"/>
  <c r="K175" i="29"/>
  <c r="B1333" i="106" s="1"/>
  <c r="D1333" i="106" s="1"/>
  <c r="B5552" i="106"/>
  <c r="D5552" i="106" s="1"/>
  <c r="B2630" i="106"/>
  <c r="D2630" i="106" s="1"/>
  <c r="E8" i="4"/>
  <c r="E19" i="4"/>
  <c r="B4138" i="106" s="1"/>
  <c r="D4138" i="106" s="1"/>
  <c r="K81" i="4"/>
  <c r="B3588" i="106"/>
  <c r="D3588" i="106" s="1"/>
  <c r="F10" i="34"/>
  <c r="B1332" i="106"/>
  <c r="D1332" i="106" s="1"/>
  <c r="I8" i="4"/>
  <c r="B3225" i="106"/>
  <c r="D3225" i="106" s="1"/>
  <c r="B2594" i="106"/>
  <c r="D2594" i="106" s="1"/>
  <c r="D10" i="171"/>
  <c r="D19" i="171" s="1"/>
  <c r="D32" i="171" s="1"/>
  <c r="D49" i="171" s="1"/>
  <c r="I18" i="11"/>
  <c r="B7625" i="106"/>
  <c r="D7625" i="106" s="1"/>
  <c r="F77" i="34"/>
  <c r="B7834" i="106" s="1"/>
  <c r="D7834" i="106" s="1"/>
  <c r="B2591" i="106"/>
  <c r="D2591" i="106" s="1"/>
  <c r="F8" i="4"/>
  <c r="F11" i="34"/>
  <c r="B1388" i="106"/>
  <c r="D1388" i="106" s="1"/>
  <c r="K211" i="29"/>
  <c r="B1389" i="106" s="1"/>
  <c r="D1389" i="106" s="1"/>
  <c r="B2596" i="106"/>
  <c r="D2596" i="106" s="1"/>
  <c r="F17" i="4"/>
  <c r="B2912" i="106"/>
  <c r="D2912" i="106" s="1"/>
  <c r="I41" i="3"/>
  <c r="B140" i="106"/>
  <c r="D140" i="106" s="1"/>
  <c r="E41" i="3"/>
  <c r="F14" i="34" l="1"/>
  <c r="B7822" i="106" s="1"/>
  <c r="B3591" i="106"/>
  <c r="D3591" i="106" s="1"/>
  <c r="K82" i="4"/>
  <c r="E20" i="4"/>
  <c r="E10" i="4"/>
  <c r="B4124" i="106" s="1"/>
  <c r="D4124" i="106" s="1"/>
  <c r="B2632" i="106"/>
  <c r="D2632" i="106" s="1"/>
  <c r="E8" i="146"/>
  <c r="E10" i="146" s="1"/>
  <c r="B3226" i="106"/>
  <c r="D3226" i="106" s="1"/>
  <c r="I20" i="4"/>
  <c r="I10" i="4"/>
  <c r="B4128" i="106" s="1"/>
  <c r="D4128" i="106" s="1"/>
  <c r="F10" i="4"/>
  <c r="B4125" i="106" s="1"/>
  <c r="D4125" i="106" s="1"/>
  <c r="B2595" i="106"/>
  <c r="D2595" i="106" s="1"/>
  <c r="D8" i="146"/>
  <c r="D16" i="37"/>
  <c r="H13" i="118"/>
  <c r="H18" i="118"/>
  <c r="B7631" i="106"/>
  <c r="D7631" i="106" s="1"/>
  <c r="F177" i="34"/>
  <c r="F19" i="4"/>
  <c r="B4139" i="106" s="1"/>
  <c r="D4139" i="106" s="1"/>
  <c r="F16" i="37"/>
  <c r="D9" i="146"/>
  <c r="B2600" i="106"/>
  <c r="D2600" i="106" s="1"/>
  <c r="H17" i="118"/>
  <c r="F20" i="4"/>
  <c r="B141" i="106"/>
  <c r="D141" i="106" s="1"/>
  <c r="D46" i="36"/>
  <c r="D50" i="36"/>
  <c r="B2913" i="106"/>
  <c r="D2913" i="106" s="1"/>
  <c r="B189" i="106"/>
  <c r="D189" i="106" s="1"/>
  <c r="D61" i="36"/>
  <c r="G41" i="3"/>
  <c r="F78" i="34" l="1"/>
  <c r="B2636" i="106"/>
  <c r="D2636" i="106" s="1"/>
  <c r="E78" i="4"/>
  <c r="K83" i="4"/>
  <c r="B6284" i="106" s="1"/>
  <c r="D6284" i="106" s="1"/>
  <c r="B6275" i="106"/>
  <c r="D6275" i="106" s="1"/>
  <c r="B3227" i="106"/>
  <c r="D3227" i="106" s="1"/>
  <c r="I78" i="4"/>
  <c r="F8" i="146"/>
  <c r="H16" i="37"/>
  <c r="F78" i="4"/>
  <c r="B2601" i="106"/>
  <c r="D2601" i="106" s="1"/>
  <c r="H25" i="118"/>
  <c r="K24" i="118" s="1"/>
  <c r="O23" i="118" s="1"/>
  <c r="O25" i="118" s="1"/>
  <c r="K17" i="118"/>
  <c r="D10" i="146"/>
  <c r="F9" i="146"/>
  <c r="B282" i="106"/>
  <c r="D282" i="106" s="1"/>
  <c r="N23" i="3"/>
  <c r="B212" i="106"/>
  <c r="D212" i="106" s="1"/>
  <c r="H41" i="3"/>
  <c r="D62" i="36"/>
  <c r="B123" i="106"/>
  <c r="D123" i="106" s="1"/>
  <c r="D41" i="3"/>
  <c r="D58" i="36"/>
  <c r="D65" i="36"/>
  <c r="K41" i="3"/>
  <c r="B3567" i="106"/>
  <c r="D3567" i="106" s="1"/>
  <c r="B6215" i="106"/>
  <c r="D6215" i="106" s="1"/>
  <c r="J41" i="3"/>
  <c r="D64" i="36"/>
  <c r="D48" i="36"/>
  <c r="B190" i="106"/>
  <c r="D190" i="106" s="1"/>
  <c r="B7835" i="106" l="1"/>
  <c r="D7835" i="106" s="1"/>
  <c r="F80" i="34"/>
  <c r="B7837" i="106" s="1"/>
  <c r="D7837" i="106" s="1"/>
  <c r="F176" i="34"/>
  <c r="B7878" i="106" s="1"/>
  <c r="D7878" i="106" s="1"/>
  <c r="B3278" i="106"/>
  <c r="D3278" i="106" s="1"/>
  <c r="E81" i="4"/>
  <c r="F10" i="146"/>
  <c r="B3320" i="106"/>
  <c r="D3320" i="106" s="1"/>
  <c r="I81" i="4"/>
  <c r="B3256" i="106"/>
  <c r="D3256" i="106" s="1"/>
  <c r="F81" i="4"/>
  <c r="D60" i="36" s="1"/>
  <c r="O16" i="118"/>
  <c r="B3568" i="106"/>
  <c r="D3568" i="106" s="1"/>
  <c r="D52" i="36"/>
  <c r="C41" i="3"/>
  <c r="D57" i="36"/>
  <c r="B92" i="106"/>
  <c r="D92" i="106" s="1"/>
  <c r="D76" i="36"/>
  <c r="D49" i="36"/>
  <c r="B213" i="106"/>
  <c r="D213" i="106" s="1"/>
  <c r="B124" i="106"/>
  <c r="D124" i="106" s="1"/>
  <c r="D45" i="36"/>
  <c r="B170" i="106"/>
  <c r="D170" i="106" s="1"/>
  <c r="F41" i="3"/>
  <c r="B284" i="106"/>
  <c r="D284" i="106" s="1"/>
  <c r="D55" i="36"/>
  <c r="D51" i="36"/>
  <c r="B6216" i="106"/>
  <c r="D6216" i="106" s="1"/>
  <c r="F178" i="34" l="1"/>
  <c r="F180" i="34" s="1"/>
  <c r="B7880" i="106" s="1"/>
  <c r="D7880" i="106" s="1"/>
  <c r="B1658" i="106"/>
  <c r="D1658" i="106" s="1"/>
  <c r="E82" i="4"/>
  <c r="D59" i="36"/>
  <c r="D63" i="36"/>
  <c r="I82" i="4"/>
  <c r="B3323" i="106"/>
  <c r="D3323" i="106" s="1"/>
  <c r="E11" i="146"/>
  <c r="F82" i="4"/>
  <c r="B1672" i="106"/>
  <c r="D1672" i="106" s="1"/>
  <c r="D11" i="146"/>
  <c r="J16" i="37"/>
  <c r="B4269" i="106" s="1"/>
  <c r="D4269" i="106" s="1"/>
  <c r="H12" i="118"/>
  <c r="K12" i="118" s="1"/>
  <c r="B93" i="106"/>
  <c r="D93" i="106" s="1"/>
  <c r="D44" i="36"/>
  <c r="B171" i="106"/>
  <c r="D171" i="106" s="1"/>
  <c r="D47" i="36"/>
  <c r="B7879" i="106" l="1"/>
  <c r="D7879" i="106" s="1"/>
  <c r="F11" i="146"/>
  <c r="B6269" i="106"/>
  <c r="D6269" i="106" s="1"/>
  <c r="E83" i="4"/>
  <c r="B6278" i="106" s="1"/>
  <c r="D6278" i="106" s="1"/>
  <c r="B6273" i="106"/>
  <c r="D6273" i="106" s="1"/>
  <c r="I83" i="4"/>
  <c r="B6282" i="106" s="1"/>
  <c r="D6282" i="106" s="1"/>
  <c r="O11" i="118"/>
  <c r="O13" i="118" s="1"/>
  <c r="J20" i="118"/>
  <c r="D29" i="36"/>
  <c r="J24" i="24" s="1"/>
  <c r="C12" i="146"/>
  <c r="B6270" i="106"/>
  <c r="D6270" i="106" s="1"/>
  <c r="F83" i="4"/>
  <c r="B6279" i="106" s="1"/>
  <c r="D6279" i="106" s="1"/>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<sst xmlns="http://schemas.openxmlformats.org/spreadsheetml/2006/main" count="5236" uniqueCount="2136">
  <si>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</si>
  <si>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</si>
  <si>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</si>
  <si>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</si>
  <si>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</si>
  <si>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</si>
  <si>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</si>
  <si>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</si>
  <si>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</si>
  <si>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</si>
  <si>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</si>
  <si>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</si>
  <si>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</si>
  <si>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</si>
  <si>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</si>
  <si>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</si>
  <si>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</si>
  <si>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</si>
  <si>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</si>
  <si>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</si>
  <si>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</si>
  <si>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</si>
  <si>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</si>
  <si>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</si>
  <si>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</si>
  <si>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</si>
  <si>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</si>
  <si>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</si>
  <si>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</si>
  <si>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</si>
  <si>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</si>
  <si>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</si>
  <si>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</si>
  <si>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</si>
  <si>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</si>
  <si>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</si>
  <si>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</si>
  <si>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</si>
  <si>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</si>
  <si>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</si>
  <si>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</si>
  <si>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</si>
  <si>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</si>
  <si>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</si>
  <si>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</si>
  <si>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</si>
  <si>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</si>
  <si>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</si>
  <si>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</si>
  <si>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</si>
  <si>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</si>
  <si>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</si>
  <si>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</si>
  <si>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</si>
  <si>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</si>
  <si>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</si>
  <si>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</si>
  <si>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</si>
  <si>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</si>
  <si>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</si>
  <si>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</si>
  <si>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</si>
  <si>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</si>
  <si>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</si>
  <si>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</si>
  <si>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</si>
  <si>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</si>
  <si>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</si>
  <si>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</si>
  <si>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</si>
  <si>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</si>
  <si>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</si>
  <si>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</si>
  <si>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</si>
  <si>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</si>
  <si>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</si>
  <si>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</si>
  <si>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</si>
  <si>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</si>
  <si>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</si>
  <si>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</si>
  <si>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</si>
  <si>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</si>
  <si>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</si>
  <si>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</si>
  <si>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</si>
  <si>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</si>
  <si>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</si>
  <si>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</si>
  <si>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</si>
  <si>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</si>
  <si>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</si>
  <si>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</si>
  <si>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</si>
  <si>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</si>
  <si>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</si>
  <si>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</si>
  <si>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</si>
  <si>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</si>
  <si>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</si>
  <si>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</si>
  <si>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</si>
  <si>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</si>
  <si>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</si>
  <si>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</si>
  <si>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</si>
  <si>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</si>
  <si>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</si>
  <si>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</si>
  <si>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</si>
  <si>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</si>
  <si>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</si>
  <si>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</si>
  <si>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</si>
  <si>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</si>
  <si>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</si>
  <si>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</si>
  <si>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</si>
  <si>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</si>
  <si>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</si>
  <si>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</si>
  <si>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</si>
  <si>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</si>
  <si>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</si>
  <si>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</si>
  <si>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</si>
  <si>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</si>
  <si>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</si>
  <si>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</si>
  <si>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</si>
  <si>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</si>
  <si>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</si>
  <si>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</si>
  <si>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</si>
  <si>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</si>
  <si>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</si>
  <si>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</si>
  <si>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</si>
  <si>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</si>
  <si>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</si>
  <si>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</si>
  <si>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</si>
  <si>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</si>
  <si>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</si>
  <si>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</si>
  <si>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</si>
  <si>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</si>
  <si>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</si>
  <si>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</si>
  <si>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</si>
  <si>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</si>
  <si>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</si>
  <si>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</si>
  <si>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</si>
  <si>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</si>
  <si>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</si>
  <si>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</si>
  <si>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</si>
  <si>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</si>
  <si>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</si>
  <si>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</si>
  <si>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</si>
  <si>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</si>
  <si>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</si>
  <si>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</si>
  <si>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</si>
  <si>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</si>
  <si>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</si>
  <si>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</si>
  <si>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</si>
  <si>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</si>
  <si>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</si>
  <si>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</si>
  <si>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</si>
  <si>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</si>
  <si>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</si>
  <si>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</si>
  <si>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</si>
  <si>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</si>
  <si>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</si>
  <si>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</si>
  <si>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</si>
  <si>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</si>
  <si>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</si>
  <si>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</si>
  <si>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</si>
  <si>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</si>
  <si>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</si>
  <si>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</si>
  <si>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</si>
  <si>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</si>
  <si>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</si>
  <si>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</si>
  <si>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</si>
  <si>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</si>
  <si>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</si>
  <si>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</si>
  <si>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</si>
  <si>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</si>
  <si>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</si>
  <si>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</si>
  <si>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</si>
  <si>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</si>
  <si>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</si>
  <si>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</si>
  <si>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</si>
  <si>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</si>
  <si>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</si>
  <si>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</si>
  <si>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</si>
  <si>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</si>
  <si>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</si>
  <si>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</si>
  <si>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</si>
  <si>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</si>
  <si>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</si>
  <si>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</si>
  <si>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</si>
  <si>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</si>
  <si>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</si>
  <si>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</si>
  <si>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</si>
  <si>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</si>
  <si>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</si>
  <si>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</si>
  <si>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</si>
  <si>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</si>
  <si>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</si>
  <si>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</si>
  <si>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</si>
  <si>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</si>
  <si>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</si>
  <si>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</si>
  <si>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</si>
  <si>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</si>
  <si>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</si>
  <si>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</si>
  <si>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</si>
  <si>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</si>
  <si>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</si>
  <si>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</si>
  <si>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</si>
  <si>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</si>
  <si>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</si>
  <si>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</si>
  <si>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</si>
  <si>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</si>
  <si>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</si>
  <si>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</si>
  <si>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</si>
  <si>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</si>
  <si>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</si>
  <si>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</si>
  <si>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</si>
  <si>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</si>
  <si>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</si>
  <si>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</si>
  <si>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</si>
  <si>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</si>
  <si>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</si>
  <si>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</si>
  <si>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</si>
  <si>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</si>
  <si>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</si>
  <si>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</si>
  <si>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</si>
  <si>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</si>
  <si>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</si>
  <si>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</si>
  <si>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</si>
  <si>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</si>
  <si>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</si>
  <si>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</si>
  <si>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</si>
  <si>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</si>
  <si>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</si>
  <si>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</si>
  <si>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</si>
  <si>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</si>
  <si>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</si>
  <si>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</si>
  <si>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</si>
  <si>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</si>
  <si>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</si>
  <si>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</si>
  <si>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</si>
  <si>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</si>
  <si>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</si>
  <si>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</si>
  <si>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</si>
  <si>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</si>
  <si>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</si>
  <si>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</si>
  <si>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</si>
  <si>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</si>
  <si>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</si>
  <si>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</si>
  <si>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</si>
  <si>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</si>
  <si>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</si>
  <si>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</si>
  <si>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</si>
  <si>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</si>
  <si>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</si>
  <si>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</si>
  <si>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</si>
  <si>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</si>
  <si>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</si>
  <si>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</si>
  <si>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</si>
  <si>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</si>
  <si>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</si>
  <si>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</si>
  <si>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</si>
  <si>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</si>
  <si>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</si>
  <si>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</si>
  <si>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</si>
  <si>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</si>
  <si>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</si>
  <si>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</si>
  <si>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</si>
  <si>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</si>
  <si>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</si>
  <si>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</si>
  <si>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</si>
  <si>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</si>
  <si>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</si>
  <si>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</si>
  <si>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</si>
  <si>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</si>
  <si>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</si>
  <si>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</si>
  <si>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</si>
  <si>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</si>
  <si>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</si>
  <si>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</si>
  <si>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</si>
  <si>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</si>
  <si>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</si>
  <si>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</si>
  <si>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</si>
  <si>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</si>
  <si>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</si>
  <si>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</si>
  <si>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</si>
  <si>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</si>
  <si>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</si>
  <si>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</si>
  <si>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</si>
  <si>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</si>
  <si>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</si>
  <si>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</si>
  <si>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</si>
  <si>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</si>
  <si>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</si>
  <si>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</si>
  <si>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</si>
  <si>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</si>
  <si>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</si>
  <si>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</si>
  <si>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</si>
  <si>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</si>
  <si>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</si>
  <si>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</si>
  <si>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</si>
  <si>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</si>
  <si>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</si>
  <si>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</si>
  <si>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</si>
  <si>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</si>
  <si>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</si>
  <si>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</si>
  <si>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</si>
  <si>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</si>
  <si>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</si>
  <si>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</si>
  <si>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</si>
  <si>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</si>
  <si>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</si>
  <si>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</si>
  <si>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</si>
  <si>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</si>
  <si>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</si>
  <si>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</si>
  <si>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</si>
  <si>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</si>
  <si>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</si>
  <si>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</si>
  <si>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</si>
  <si>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</si>
  <si>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</si>
  <si>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</si>
  <si>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</si>
  <si>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</si>
  <si>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</si>
  <si>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</si>
  <si>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</si>
  <si>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</si>
  <si>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</si>
  <si>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</si>
  <si>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</si>
  <si>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</si>
  <si>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</si>
  <si>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</si>
  <si>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</si>
  <si>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</si>
  <si>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</si>
  <si>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</si>
  <si>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</si>
  <si>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</si>
  <si>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</si>
  <si>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</si>
  <si>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</si>
  <si>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</si>
  <si>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</si>
  <si>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</si>
  <si>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</si>
  <si>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</si>
  <si>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</si>
  <si>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</si>
  <si>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</si>
  <si>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</si>
  <si>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</si>
  <si>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</si>
  <si>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</si>
  <si>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</si>
  <si>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</si>
  <si>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</si>
  <si>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</si>
  <si>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</si>
  <si>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</si>
  <si>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</si>
  <si>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</si>
  <si>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</si>
  <si>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</si>
  <si>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</si>
  <si>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</si>
  <si>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</si>
  <si>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</si>
  <si>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</si>
  <si>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</si>
  <si>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</si>
  <si>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</si>
  <si>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</si>
  <si>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</si>
  <si>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</si>
  <si>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</si>
  <si>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</si>
  <si>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</si>
  <si>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</si>
  <si>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</si>
  <si>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</si>
  <si>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</si>
  <si>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</si>
  <si>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</si>
  <si>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</si>
  <si>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</si>
  <si>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</si>
  <si>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</si>
  <si>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</si>
  <si>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</si>
  <si>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</si>
  <si>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</si>
  <si>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</si>
  <si>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</si>
  <si>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</si>
  <si>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</si>
  <si>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</si>
  <si>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</si>
  <si>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</si>
  <si>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</si>
  <si>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</si>
  <si>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</si>
  <si>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</si>
  <si>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</si>
  <si>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</si>
  <si>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</si>
  <si>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</si>
  <si>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</si>
  <si>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</si>
  <si>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</si>
  <si>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</si>
  <si>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</si>
  <si>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</si>
  <si>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</si>
  <si>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</si>
  <si>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</si>
  <si>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</si>
  <si>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</si>
  <si>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</si>
  <si>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</si>
  <si>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</si>
  <si>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</si>
  <si>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</si>
  <si>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</si>
  <si>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</si>
  <si>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</si>
  <si>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</si>
  <si>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</si>
  <si>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</si>
  <si>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</si>
  <si>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</si>
  <si>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</si>
  <si>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</si>
  <si>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</si>
  <si>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</si>
  <si>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</si>
  <si>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</si>
  <si>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</si>
  <si>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</si>
  <si>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</si>
  <si>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</si>
  <si>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</si>
  <si>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</si>
  <si>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</si>
  <si>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</si>
  <si>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</si>
  <si>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</si>
  <si>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</si>
  <si>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</si>
  <si>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</si>
  <si>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</si>
  <si>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</si>
  <si>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</si>
  <si>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</si>
  <si>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</si>
  <si>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</si>
  <si>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</si>
  <si>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</si>
  <si>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</si>
  <si>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</si>
  <si>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</si>
  <si>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</si>
  <si>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</si>
  <si>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</si>
  <si>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</si>
  <si>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</si>
  <si>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</si>
  <si>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</si>
  <si>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</si>
  <si>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</si>
  <si>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</si>
  <si>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</si>
  <si>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</si>
  <si>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</si>
  <si>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</si>
  <si>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</si>
  <si>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</si>
  <si>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</si>
  <si>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</si>
  <si>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</si>
  <si>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</si>
  <si>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</si>
  <si>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</si>
  <si>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</si>
  <si>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</si>
  <si>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</si>
  <si>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</si>
  <si>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</si>
  <si>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</si>
  <si>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</si>
  <si>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</si>
  <si>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</si>
  <si>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</si>
  <si>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</si>
  <si>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</si>
  <si>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</si>
  <si>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</si>
  <si>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</si>
  <si>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</si>
  <si>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</si>
  <si>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</si>
  <si>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</si>
  <si>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</si>
  <si>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</si>
  <si>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</si>
  <si>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</si>
  <si>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</si>
  <si>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</si>
  <si>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</si>
  <si>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</si>
  <si>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</si>
  <si>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</si>
  <si>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</si>
  <si>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</si>
  <si>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</si>
  <si>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</si>
  <si>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</si>
  <si>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</si>
  <si>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</si>
  <si>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</si>
  <si>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</si>
  <si>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</si>
  <si>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</si>
  <si>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</si>
  <si>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</si>
  <si>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</si>
  <si>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</si>
  <si>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</si>
  <si>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</si>
  <si>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</si>
  <si>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</si>
  <si>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</si>
  <si>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</si>
  <si>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</si>
  <si>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</si>
  <si>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</si>
  <si>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</si>
  <si>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</si>
  <si>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</si>
  <si>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</si>
  <si>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</si>
  <si>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</si>
  <si>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</si>
  <si>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</si>
  <si>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</si>
  <si>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</si>
  <si>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</si>
  <si>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</si>
  <si>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</si>
  <si>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</si>
  <si>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</si>
  <si>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</si>
  <si>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</si>
  <si>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</si>
  <si>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</si>
  <si>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</si>
  <si>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</si>
  <si>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</si>
  <si>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</si>
  <si>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</si>
  <si>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</si>
  <si>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</si>
  <si>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</si>
  <si>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</si>
  <si>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</si>
  <si>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</si>
  <si>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</si>
  <si>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</si>
  <si>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</si>
  <si>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</si>
  <si>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</si>
  <si>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</si>
  <si>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</si>
  <si>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</si>
  <si>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</si>
  <si>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</si>
  <si>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</si>
  <si>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</si>
  <si>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</si>
  <si>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</si>
  <si>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</si>
  <si>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</si>
  <si>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</si>
  <si>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</si>
  <si>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</si>
  <si>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</si>
  <si>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</si>
  <si>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</si>
  <si>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</si>
  <si>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</si>
  <si>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</si>
  <si>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</si>
  <si>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</si>
  <si>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</si>
  <si>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</si>
  <si>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</si>
  <si>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</si>
  <si>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</si>
  <si>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</si>
  <si>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</si>
  <si>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</si>
  <si>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</si>
  <si>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</si>
  <si>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</si>
  <si>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</si>
  <si>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</si>
  <si>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</si>
  <si>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</si>
  <si>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</si>
  <si>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</si>
  <si>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</si>
  <si>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</si>
  <si>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</si>
  <si>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</si>
  <si>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</si>
  <si>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</si>
  <si>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</si>
  <si>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</si>
  <si>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</si>
  <si>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</si>
  <si>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</si>
  <si>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</si>
  <si>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</si>
  <si>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</si>
  <si>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</si>
  <si>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</si>
  <si>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</si>
  <si>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</si>
  <si>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</si>
  <si>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</si>
  <si>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</si>
  <si>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</si>
  <si>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</si>
  <si>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</si>
  <si>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</si>
  <si>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</si>
  <si>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</si>
  <si>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</si>
  <si>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</si>
  <si>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</si>
  <si>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</si>
  <si>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</si>
  <si>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</si>
  <si>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</si>
  <si>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</si>
  <si>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</si>
  <si>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</si>
  <si>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</si>
  <si>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</si>
  <si>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</si>
  <si>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</si>
  <si>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</si>
  <si>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</si>
  <si>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</si>
  <si>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</si>
  <si>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</si>
  <si>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</si>
  <si>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</si>
  <si>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</si>
  <si>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</si>
  <si>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</si>
  <si>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</si>
  <si>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</si>
  <si>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</si>
  <si>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</si>
  <si>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</si>
  <si>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</si>
  <si>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</si>
  <si>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</si>
  <si>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</si>
  <si>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</si>
  <si>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</si>
  <si>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</si>
  <si>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</si>
  <si>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</si>
  <si>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</si>
  <si>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</si>
  <si>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</si>
  <si>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</si>
  <si>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</si>
  <si>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</si>
  <si>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</si>
  <si>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</si>
  <si>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</si>
  <si>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</si>
  <si>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</si>
  <si>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</si>
  <si>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</si>
  <si>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</si>
  <si>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</si>
  <si>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</si>
  <si>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</si>
  <si>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</si>
  <si>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</si>
  <si>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</si>
  <si>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</si>
  <si>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</si>
  <si>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</si>
  <si>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</si>
  <si>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</si>
  <si>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</si>
  <si>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</si>
  <si>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</si>
  <si>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</si>
  <si>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</si>
  <si>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</si>
  <si>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</si>
  <si>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</si>
  <si>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</si>
  <si>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</si>
  <si>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</si>
  <si>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</si>
  <si>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</si>
  <si>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</si>
  <si>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</si>
  <si>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</si>
  <si>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</si>
  <si>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</si>
  <si>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</si>
  <si>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</si>
  <si>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</si>
  <si>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</si>
  <si>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</si>
  <si>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</si>
  <si>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</si>
  <si>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</si>
  <si>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</si>
  <si>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</si>
  <si>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</si>
  <si>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</si>
  <si>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</si>
  <si>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</si>
  <si>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</si>
  <si>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</si>
  <si>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</si>
  <si>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</si>
  <si>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</si>
  <si>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</si>
  <si>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</si>
  <si>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</si>
  <si>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</si>
  <si>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</si>
  <si>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</si>
  <si>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</si>
  <si>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</si>
  <si>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</si>
  <si>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</si>
  <si>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</si>
  <si>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</si>
  <si>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</si>
  <si>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</si>
  <si>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</si>
  <si>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</si>
  <si>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</si>
  <si>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</si>
  <si>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</si>
  <si>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</si>
  <si>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</si>
  <si>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</si>
  <si>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</si>
  <si>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</si>
  <si>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</si>
  <si>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</si>
  <si>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</si>
  <si>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</si>
  <si>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</si>
  <si>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</si>
  <si>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</si>
  <si>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</si>
  <si>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</si>
  <si>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</si>
  <si>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</si>
  <si>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</si>
  <si>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</si>
  <si>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</si>
  <si>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</si>
  <si>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</si>
  <si>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</si>
  <si>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</si>
  <si>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</si>
  <si>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</si>
  <si>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</si>
  <si>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</si>
  <si>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</si>
  <si>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</si>
  <si>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</si>
  <si>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</si>
  <si>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</si>
  <si>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</si>
  <si>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</si>
  <si>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</si>
  <si>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</si>
  <si>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</si>
  <si>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</si>
  <si>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</si>
  <si>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</si>
  <si>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</si>
  <si>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</si>
  <si>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</si>
  <si>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</si>
  <si>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</si>
  <si>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</si>
  <si>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</si>
  <si>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</si>
  <si>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</si>
  <si>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</si>
  <si>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</si>
  <si>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</si>
  <si>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</si>
  <si>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</si>
  <si>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</si>
  <si>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</si>
  <si>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</si>
  <si>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</si>
  <si>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</si>
  <si>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</si>
  <si>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</si>
  <si>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</si>
  <si>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</si>
  <si>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</si>
  <si>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</si>
  <si>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</si>
  <si>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</si>
  <si>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</si>
  <si>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</si>
  <si>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</si>
  <si>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</si>
  <si>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</si>
  <si>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</si>
  <si>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</si>
  <si>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</si>
  <si>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</si>
  <si>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</si>
  <si>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</si>
  <si>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</si>
  <si>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</si>
  <si>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</si>
  <si>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</si>
  <si>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</si>
  <si>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</si>
  <si>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</si>
  <si>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</si>
  <si>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</si>
  <si>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</si>
  <si>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</si>
  <si>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</si>
  <si>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</si>
  <si>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</si>
  <si>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</si>
  <si>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</si>
  <si>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</si>
  <si>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</si>
  <si>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</si>
  <si>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</si>
  <si>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</si>
  <si>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</si>
  <si>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</si>
  <si>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</si>
  <si>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</si>
  <si>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</si>
  <si>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</si>
  <si>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</si>
  <si>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</si>
  <si>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</si>
  <si>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</si>
  <si>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</si>
  <si>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</si>
  <si>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</si>
  <si>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</si>
  <si>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</si>
  <si>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</si>
  <si>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</si>
  <si>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</si>
  <si>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</si>
  <si>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</si>
  <si>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</si>
  <si>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</si>
  <si>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</si>
  <si>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</si>
  <si>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</si>
  <si>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</si>
  <si>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</si>
  <si>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</si>
  <si>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</si>
  <si>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</si>
  <si>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</si>
  <si>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</si>
  <si>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</si>
  <si>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</si>
  <si>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</si>
  <si>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</si>
  <si>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</si>
  <si>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</si>
  <si>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</si>
  <si>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</si>
  <si>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</si>
  <si>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</si>
  <si>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</si>
  <si>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</si>
  <si>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</si>
  <si>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</si>
  <si>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</si>
  <si>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</si>
  <si>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</si>
  <si>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</si>
  <si>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</si>
  <si>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</si>
  <si>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</si>
  <si>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</si>
  <si>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</si>
  <si>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</si>
  <si>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</si>
  <si>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</si>
  <si>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</si>
  <si>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</si>
  <si>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</si>
  <si>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</si>
  <si>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</si>
  <si>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</si>
  <si>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</si>
  <si>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</si>
  <si>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</si>
  <si>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</si>
  <si>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</si>
  <si>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</si>
  <si>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</si>
  <si>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</si>
  <si>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</si>
  <si>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</si>
  <si>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</si>
  <si>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</si>
  <si>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</si>
  <si>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</si>
  <si>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</si>
  <si>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</si>
  <si>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</si>
  <si>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</si>
  <si>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</si>
  <si>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</si>
  <si>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</si>
  <si>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</si>
  <si>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</si>
  <si>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</si>
  <si>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</si>
  <si>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</si>
  <si>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</si>
  <si>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</si>
  <si>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</si>
  <si>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</si>
  <si>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</si>
  <si>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</si>
  <si>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</si>
  <si>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</si>
  <si>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</si>
  <si>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</si>
  <si>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</si>
  <si>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</si>
  <si>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</si>
  <si>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</si>
  <si>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</si>
  <si>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</si>
  <si>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</si>
  <si>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</si>
  <si>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</si>
  <si>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</si>
  <si>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</si>
  <si>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</si>
  <si>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</si>
  <si>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</si>
  <si>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</si>
  <si>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</si>
  <si>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</si>
  <si>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</si>
  <si>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</si>
  <si>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</si>
  <si>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</si>
  <si>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</si>
  <si>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</si>
  <si>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</si>
  <si>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</si>
  <si>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</si>
  <si>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</si>
  <si>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</si>
  <si>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</si>
  <si>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</si>
  <si>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</si>
  <si>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</si>
  <si>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</si>
  <si>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</si>
  <si>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</si>
  <si>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</si>
  <si>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</si>
  <si>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</si>
  <si>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</si>
  <si>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</si>
  <si>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</si>
  <si>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</si>
  <si>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</si>
  <si>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</si>
  <si>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</si>
  <si>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</si>
  <si>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</si>
  <si>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</si>
  <si>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</si>
  <si>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</si>
  <si>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</si>
  <si>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</si>
  <si>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</si>
  <si>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</si>
  <si>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</si>
  <si>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</si>
  <si>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</si>
  <si>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</si>
  <si>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</si>
  <si>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</si>
  <si>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</si>
  <si>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</si>
  <si>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</si>
  <si>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</si>
  <si>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</si>
  <si>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</si>
  <si>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</si>
  <si>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</si>
  <si>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</si>
  <si>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</si>
  <si>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</si>
  <si>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</si>
  <si>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</si>
  <si>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</si>
  <si>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</si>
  <si>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</si>
  <si>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</si>
  <si>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</si>
  <si>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</si>
  <si>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</si>
  <si>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</si>
  <si>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</si>
  <si>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</si>
  <si>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</si>
  <si>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</si>
  <si>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</si>
  <si>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</si>
  <si>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</si>
  <si>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</si>
  <si>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</si>
  <si>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</si>
  <si>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</si>
  <si>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</si>
  <si>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</si>
  <si>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</si>
  <si>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</si>
  <si>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</si>
  <si>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</si>
  <si>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</si>
  <si>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</si>
  <si>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</si>
  <si>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</si>
  <si>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</si>
  <si>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</si>
  <si>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</si>
  <si>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</si>
  <si>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</si>
  <si>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</si>
  <si>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</si>
  <si>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</si>
  <si>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</si>
  <si>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</si>
  <si>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</si>
  <si>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</si>
  <si>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</si>
  <si>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</si>
  <si>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</si>
  <si>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</si>
  <si>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</si>
  <si>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</si>
  <si>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</si>
  <si>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</si>
  <si>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</si>
  <si>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</si>
  <si>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</si>
  <si>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</si>
  <si>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</si>
  <si>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</si>
  <si>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</si>
  <si>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</si>
  <si>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</si>
  <si>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</si>
  <si>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</si>
  <si>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</si>
  <si>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</si>
  <si>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</si>
  <si>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</si>
  <si>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</si>
  <si>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</si>
  <si>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</si>
  <si>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</si>
  <si>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</si>
  <si>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</si>
  <si>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</si>
  <si>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</si>
  <si>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</si>
  <si>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</si>
  <si>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</si>
  <si>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</si>
  <si>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</si>
  <si>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</si>
  <si>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</si>
  <si>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</si>
  <si>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</si>
  <si>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</si>
  <si>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</si>
  <si>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</si>
  <si>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</si>
  <si>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</si>
  <si>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</si>
  <si>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</si>
  <si>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</si>
  <si>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</si>
  <si>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</si>
  <si>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</si>
  <si>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</si>
  <si>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</si>
  <si>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</si>
  <si>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</si>
  <si>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</si>
  <si>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</si>
  <si>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</si>
  <si>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</si>
  <si>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</si>
  <si>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</si>
  <si>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</si>
  <si>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</si>
  <si>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</si>
  <si>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</si>
  <si>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</si>
  <si>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</si>
  <si>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</si>
  <si>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</si>
  <si>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</si>
  <si>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</si>
  <si>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</si>
  <si>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</si>
  <si>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</si>
  <si>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</si>
  <si>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</si>
  <si>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</si>
  <si>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</si>
  <si>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</si>
  <si>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</si>
  <si>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</si>
  <si>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</si>
  <si>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</si>
  <si>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</si>
  <si>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</si>
  <si>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</si>
  <si>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</si>
  <si>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</si>
  <si>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</si>
  <si>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</si>
  <si>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</si>
  <si>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</si>
  <si>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</si>
  <si>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</si>
  <si>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</si>
  <si>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</si>
  <si>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</si>
  <si>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</si>
  <si>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</si>
  <si>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</si>
  <si>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</si>
  <si>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</si>
  <si>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</si>
  <si>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</si>
  <si>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</si>
  <si>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</si>
  <si>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</si>
  <si>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</si>
  <si>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</si>
  <si>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</si>
  <si>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</si>
  <si>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</si>
  <si>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</si>
  <si>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</si>
  <si>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</si>
  <si>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</si>
  <si>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</si>
  <si>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</si>
  <si>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</si>
  <si>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</si>
  <si>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</si>
  <si>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</si>
  <si>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</si>
  <si>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</si>
  <si>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</si>
  <si>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</si>
  <si>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</si>
  <si>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</si>
  <si>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</si>
  <si>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</si>
  <si>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</si>
  <si>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</si>
  <si>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</si>
  <si>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</si>
  <si>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</si>
  <si>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</si>
  <si>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</si>
  <si>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</si>
  <si>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</si>
  <si>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</si>
  <si>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</si>
  <si>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</si>
  <si>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</si>
  <si>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</si>
  <si>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</si>
  <si>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</si>
  <si>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</si>
  <si>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</si>
  <si>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</si>
  <si>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</si>
  <si>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</si>
  <si>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</si>
  <si>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</si>
  <si>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</si>
  <si>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</si>
  <si>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</si>
  <si>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</si>
  <si>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</si>
  <si>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</si>
  <si>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</si>
  <si>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</si>
  <si>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</si>
  <si>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</si>
  <si>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</si>
  <si>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</si>
  <si>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</si>
  <si>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</si>
  <si>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</si>
  <si>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</si>
  <si>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</si>
  <si>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</si>
  <si>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</si>
  <si>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</si>
  <si>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</si>
  <si>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</si>
  <si>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</si>
  <si>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</si>
  <si>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</si>
  <si>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</si>
  <si>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</si>
  <si>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</si>
  <si>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</si>
  <si>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</si>
  <si>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</si>
  <si>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</si>
  <si>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</si>
  <si>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</si>
  <si>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</si>
  <si>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</si>
  <si>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</si>
  <si>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</si>
  <si>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</si>
  <si>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</si>
  <si>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</si>
  <si>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</si>
  <si>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</si>
  <si>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</si>
  <si>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</si>
  <si>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</si>
  <si>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</si>
  <si>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</si>
  <si>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</si>
  <si>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</si>
  <si>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</si>
  <si>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</si>
  <si>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</si>
  <si>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</si>
  <si>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</si>
  <si>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</si>
  <si>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</si>
  <si>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</si>
  <si>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</si>
  <si>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</si>
  <si>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</si>
  <si>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</si>
  <si>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</si>
  <si>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</si>
  <si>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</si>
  <si>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</si>
  <si>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</si>
  <si>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</si>
  <si>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</si>
  <si>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</si>
  <si>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</si>
  <si>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</si>
  <si>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</si>
  <si>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</si>
  <si>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</si>
  <si>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</si>
  <si>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</si>
  <si>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</si>
  <si>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</si>
  <si>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</si>
  <si>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</si>
  <si>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</si>
  <si>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</si>
  <si>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</si>
  <si>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</si>
  <si>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</si>
  <si>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</si>
  <si>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</si>
  <si>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</si>
  <si>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</si>
  <si>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</si>
  <si>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</si>
  <si>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</si>
  <si>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</si>
  <si>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</si>
  <si>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</si>
  <si>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</si>
  <si>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</si>
  <si>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</si>
  <si>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</si>
  <si>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</si>
  <si>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</si>
  <si>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</si>
  <si>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</si>
  <si>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</si>
  <si>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</si>
  <si>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</si>
  <si>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</si>
  <si>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</si>
  <si>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</si>
  <si>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</si>
  <si>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</si>
  <si>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</si>
  <si>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</si>
  <si>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</si>
  <si>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</si>
  <si>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</si>
  <si>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</si>
  <si>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</si>
  <si>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</si>
  <si>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</si>
  <si>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</si>
  <si>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</si>
  <si>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</si>
  <si>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</si>
  <si>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</si>
  <si>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</si>
  <si>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</si>
  <si>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</si>
  <si>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</si>
  <si>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</si>
  <si>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</si>
  <si>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</si>
  <si>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</si>
  <si>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</si>
  <si>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</si>
  <si>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</si>
  <si>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</si>
  <si>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</si>
  <si>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</si>
  <si>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</si>
  <si>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</si>
  <si>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</si>
  <si>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</si>
  <si>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</si>
  <si>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</si>
  <si>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</si>
  <si>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</si>
  <si>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</si>
  <si>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</si>
  <si>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</si>
  <si>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</si>
  <si>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</si>
  <si>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</si>
  <si>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</si>
  <si>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</si>
  <si>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</si>
  <si>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</si>
  <si>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</si>
  <si>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</si>
  <si>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</si>
  <si>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</si>
  <si>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</si>
  <si>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</si>
  <si>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</si>
  <si>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</si>
  <si>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</si>
  <si>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</si>
  <si>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</si>
  <si>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</si>
  <si>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</si>
  <si>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</si>
  <si>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</si>
  <si>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</si>
  <si>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</si>
  <si>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</si>
  <si>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</si>
  <si>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</si>
  <si>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</si>
  <si>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</si>
  <si>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</si>
  <si>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</si>
  <si>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</si>
  <si>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</si>
  <si>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</si>
  <si>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</si>
  <si>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</si>
  <si>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</si>
  <si>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</si>
  <si>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</si>
  <si>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</si>
  <si>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</si>
  <si>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</si>
  <si>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</si>
  <si>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</si>
  <si>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</si>
  <si>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</si>
  <si>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</si>
  <si>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</si>
  <si>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</si>
  <si>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</si>
  <si>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</si>
  <si>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</si>
  <si>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</si>
  <si>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</si>
  <si>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</si>
  <si>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</si>
  <si>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</si>
  <si>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</si>
  <si>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</si>
  <si>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</si>
  <si>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</si>
  <si>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</si>
  <si>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</si>
  <si>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</si>
  <si>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</si>
  <si>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</si>
  <si>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</si>
  <si>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</si>
  <si>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</si>
  <si>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</si>
  <si>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</si>
  <si>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</si>
  <si>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</si>
  <si>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</si>
  <si>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</si>
  <si>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</si>
  <si>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</si>
  <si>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</si>
  <si>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</si>
  <si>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</si>
  <si>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</si>
  <si>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</si>
  <si>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</si>
  <si>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</si>
  <si>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</si>
  <si>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</si>
  <si>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</si>
  <si>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</si>
  <si>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</si>
  <si>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</si>
  <si>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</si>
  <si>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</si>
  <si>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</si>
  <si>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</si>
  <si>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</si>
  <si>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</si>
  <si>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</si>
  <si>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</si>
  <si>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</si>
  <si>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</si>
  <si>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</si>
  <si>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</si>
  <si>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</si>
  <si>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</si>
  <si>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</si>
  <si>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</si>
  <si>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</si>
  <si>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</si>
  <si>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</si>
  <si>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</si>
  <si>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</si>
  <si>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</si>
  <si>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</si>
  <si>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</si>
  <si>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</si>
  <si>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</si>
  <si>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</si>
  <si>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</si>
  <si>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</si>
  <si>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</si>
  <si>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</si>
  <si>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</si>
  <si>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</si>
  <si>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</si>
  <si>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</si>
  <si>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</si>
  <si>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</si>
  <si>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</si>
  <si>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</si>
  <si>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</si>
  <si>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</si>
  <si>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</si>
  <si>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</si>
  <si>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</si>
  <si>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</si>
  <si>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</si>
  <si>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</si>
  <si>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</si>
  <si>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</si>
  <si>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</si>
  <si>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</si>
  <si>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</si>
  <si>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</si>
  <si>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</si>
  <si>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</si>
  <si>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</si>
  <si>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</si>
  <si>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</si>
  <si>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</si>
  <si>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</si>
  <si>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</si>
  <si>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</si>
  <si>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</si>
  <si>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</si>
  <si>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</si>
  <si>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</si>
  <si>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</si>
  <si>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</si>
  <si>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</si>
  <si>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</si>
  <si>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</si>
  <si>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</si>
  <si>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</si>
  <si>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</si>
  <si>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</si>
  <si>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</si>
  <si>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</si>
  <si>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</si>
  <si>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</si>
  <si>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</si>
  <si>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</si>
  <si>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</si>
  <si>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</si>
  <si>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</si>
  <si>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</si>
  <si>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</si>
  <si>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</si>
  <si>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</si>
  <si>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</si>
  <si>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</si>
  <si>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</si>
  <si>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</si>
  <si>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</si>
  <si>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</si>
  <si>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</si>
  <si>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</si>
  <si>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</si>
  <si>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</si>
  <si>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</si>
  <si>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</si>
  <si>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</si>
  <si>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</si>
  <si>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</si>
  <si>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</si>
  <si>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</si>
  <si>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</si>
  <si>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</si>
  <si>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</si>
  <si>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</si>
  <si>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</si>
  <si>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</si>
  <si>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</si>
  <si>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</si>
  <si>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</si>
  <si>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</si>
  <si>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</si>
  <si>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</si>
  <si>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</si>
  <si>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</si>
  <si>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</si>
  <si>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</si>
  <si>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</si>
  <si>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</si>
  <si>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</si>
  <si>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</si>
  <si>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</si>
  <si>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</si>
  <si>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</si>
  <si>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</si>
  <si>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</si>
  <si>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</si>
  <si>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</si>
  <si>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</si>
  <si>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</si>
  <si>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</si>
  <si>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</si>
  <si>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</si>
  <si>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</si>
  <si>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</si>
  <si>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</si>
  <si>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</si>
  <si>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</si>
  <si>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</si>
  <si>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</si>
  <si>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</si>
  <si>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</si>
  <si>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</si>
  <si>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</si>
  <si>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</si>
  <si>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</si>
  <si>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</si>
  <si>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</si>
  <si>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</si>
  <si>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</si>
  <si>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</si>
  <si>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</si>
  <si>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</si>
  <si>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</si>
  <si>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</si>
  <si>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</si>
  <si>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</si>
  <si>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</si>
  <si>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</si>
  <si>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</si>
  <si>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</si>
  <si>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</si>
  <si>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</si>
  <si>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</si>
  <si>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</si>
  <si>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</si>
  <si>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</si>
  <si>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</si>
  <si>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</si>
  <si>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</si>
  <si>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</si>
  <si>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</si>
  <si>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</si>
  <si>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</si>
  <si>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</si>
  <si>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</si>
  <si>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</si>
  <si>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</si>
  <si>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</si>
  <si>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</si>
  <si>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</si>
  <si>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</si>
  <si>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</si>
  <si>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</si>
  <si>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</si>
  <si>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</si>
  <si>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</si>
  <si>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</si>
  <si>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</si>
  <si>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</si>
  <si>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</si>
  <si>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</si>
  <si>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</si>
  <si>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</si>
  <si>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</si>
  <si>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</si>
  <si>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</si>
  <si>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</si>
  <si>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</si>
  <si>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</si>
  <si>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</si>
  <si>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</si>
  <si>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</si>
  <si>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</si>
  <si>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</si>
  <si>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</si>
  <si>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</si>
  <si>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</si>
  <si>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</si>
  <si>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</si>
  <si>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</si>
  <si>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</si>
  <si>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</si>
  <si>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</si>
  <si>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</si>
  <si>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</si>
  <si>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</si>
  <si>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</si>
  <si>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</si>
  <si>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</si>
  <si>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</si>
  <si>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</si>
  <si>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</si>
  <si>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</si>
  <si>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</si>
  <si>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</si>
  <si>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</si>
  <si>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</si>
  <si>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</si>
  <si>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</si>
  <si>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</si>
  <si>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</si>
  <si>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</si>
  <si>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</si>
  <si>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</si>
  <si>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</si>
  <si>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</si>
  <si>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</si>
  <si>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</si>
  <si>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</si>
  <si>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</si>
  <si>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</si>
  <si>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</si>
  <si>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</si>
  <si>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</si>
  <si>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</si>
  <si>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</si>
  <si>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</si>
  <si>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</si>
  <si>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</si>
  <si>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</si>
  <si>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</si>
  <si>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</si>
  <si>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</si>
  <si>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</si>
  <si>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</si>
  <si>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</si>
  <si>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</si>
  <si>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</si>
  <si>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</si>
  <si>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</si>
  <si>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</si>
  <si>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</si>
  <si>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</si>
  <si>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</si>
  <si>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</si>
  <si>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</si>
  <si>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</si>
  <si>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</si>
  <si>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</si>
  <si>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</si>
  <si>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</si>
  <si>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</si>
  <si>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</si>
  <si>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</si>
  <si>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</si>
  <si>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</si>
  <si>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</si>
  <si>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</si>
  <si>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</si>
  <si>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</si>
  <si>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</si>
  <si>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</si>
  <si>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</si>
  <si>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</si>
  <si>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</si>
  <si>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</si>
  <si>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</si>
  <si>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</si>
  <si>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</si>
  <si>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</si>
  <si>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</si>
  <si>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</si>
  <si>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</si>
  <si>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</si>
  <si>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</si>
  <si>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</si>
  <si>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</si>
  <si>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</si>
  <si>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</si>
  <si>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</si>
  <si>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</si>
  <si>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</si>
  <si>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</si>
  <si>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</si>
  <si>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</si>
  <si>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</si>
  <si>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</si>
  <si>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</si>
  <si>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</si>
  <si>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</si>
  <si>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</si>
  <si>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</si>
  <si>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</si>
  <si>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</si>
  <si>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</si>
  <si>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</si>
  <si>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</si>
  <si>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</si>
  <si>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</si>
  <si>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</si>
  <si>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</si>
  <si>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</si>
  <si>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</si>
  <si>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</si>
  <si>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</si>
  <si>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</si>
  <si>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</si>
  <si>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</si>
  <si>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</si>
  <si>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</si>
  <si>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</si>
  <si>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</si>
  <si>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</si>
  <si>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</si>
  <si>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</si>
  <si>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</si>
  <si>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</si>
  <si>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</si>
  <si>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</si>
  <si>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</si>
  <si>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</si>
  <si>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</si>
  <si>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</si>
  <si>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</si>
  <si>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</si>
  <si>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</si>
  <si>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</si>
  <si>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</si>
  <si>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</si>
  <si>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</si>
  <si>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</si>
  <si>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</si>
  <si>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</si>
  <si>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</si>
  <si>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</si>
  <si>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</si>
  <si>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</si>
  <si>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</si>
  <si>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</si>
  <si>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</si>
  <si>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</si>
  <si>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</si>
  <si>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</si>
  <si>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</si>
  <si>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</si>
  <si>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</si>
  <si>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</si>
  <si>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</si>
  <si>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</si>
  <si>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</si>
  <si>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</si>
  <si>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</si>
  <si>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</si>
  <si>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</si>
  <si>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</si>
  <si>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</si>
  <si>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</si>
  <si>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</si>
  <si>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</si>
  <si>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</si>
  <si>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</si>
  <si>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</si>
  <si>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</si>
  <si>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</si>
  <si>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</si>
  <si>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</si>
  <si>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</si>
  <si>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</si>
  <si>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</si>
  <si>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</si>
  <si>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</si>
  <si>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</si>
  <si>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</si>
  <si>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</si>
  <si>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</si>
  <si>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</si>
  <si>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</si>
  <si>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</si>
  <si>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</si>
  <si>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</si>
  <si>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</si>
  <si>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</si>
  <si>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</si>
  <si>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</si>
  <si>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</si>
  <si>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</si>
  <si>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</si>
  <si>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</si>
  <si>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</si>
  <si>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</si>
  <si>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</si>
  <si>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</si>
  <si>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</si>
  <si>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</si>
  <si>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</si>
  <si>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</si>
  <si>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</si>
  <si>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</si>
  <si>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</si>
  <si>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</si>
  <si>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</si>
  <si>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</si>
  <si>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</si>
  <si>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</si>
  <si>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</si>
  <si>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</si>
  <si>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</si>
  <si>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</si>
  <si>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</si>
  <si>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</si>
  <si>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</si>
  <si>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</si>
  <si>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</si>
  <si>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</si>
  <si>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</si>
  <si>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</si>
  <si>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</si>
  <si>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</si>
  <si>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</si>
  <si>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</si>
  <si>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</si>
  <si>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</si>
  <si>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</si>
  <si>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</si>
  <si>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</si>
  <si>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</si>
  <si>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</si>
  <si>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</si>
  <si>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</si>
  <si>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</si>
  <si>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</si>
  <si>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</si>
  <si>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</si>
  <si>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</si>
  <si>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</si>
  <si>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</si>
  <si>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</si>
  <si>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</si>
  <si>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</si>
  <si>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</si>
  <si>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</si>
  <si>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</si>
  <si>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</si>
  <si>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</si>
  <si>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</si>
  <si>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</si>
  <si>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</si>
  <si>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</si>
  <si>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</si>
  <si>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</si>
  <si>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</si>
  <si>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</si>
  <si>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</si>
  <si>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</si>
  <si>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</si>
  <si>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</si>
  <si>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</si>
  <si>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</si>
  <si>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</si>
  <si>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</si>
  <si>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</si>
  <si>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</si>
  <si>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</si>
  <si>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</si>
  <si>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</si>
  <si>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</si>
  <si>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</si>
  <si>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</si>
  <si>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</si>
  <si>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</si>
  <si>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</si>
  <si>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</si>
  <si>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</si>
  <si>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</si>
  <si>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</si>
  <si>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</si>
  <si>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</si>
  <si>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</si>
  <si>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</si>
  <si>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</si>
  <si>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</si>
  <si>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</si>
  <si>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</si>
  <si>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</si>
  <si>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</si>
  <si>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</si>
  <si>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</si>
  <si>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</si>
  <si>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</si>
  <si>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</si>
  <si>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</si>
  <si>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</si>
  <si>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</si>
  <si>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</si>
  <si>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</si>
  <si>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</si>
  <si>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</si>
  <si>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</si>
  <si>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</si>
  <si>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</si>
  <si>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2019-001</t>
  </si>
  <si>
    <t>Lack of Segregation of Duties</t>
  </si>
  <si>
    <t>Unresolved - See Finding 2020-001</t>
  </si>
  <si>
    <t>Two individuals have the primary responsibility for performing most of the accounting and financial duties including key functions of recording, reconciling, and reporting cash transactions.</t>
  </si>
  <si>
    <t>Certain individuals have the ability to complete and record accounting functions which ideally would be segregated.</t>
  </si>
  <si>
    <t>Assigned duties and available district staff are reviewed annually for increased opportunities to further segregate duties.</t>
  </si>
  <si>
    <t>2019-002</t>
  </si>
  <si>
    <t>Resolved</t>
  </si>
  <si>
    <t xml:space="preserve">Internal controls are designed to allow management or employees, in the normal course of performing their assigned functions, to prevent or detect misstatements and safeguard assets. A concept in a good system of internal control is adequate segregation of duties. </t>
  </si>
  <si>
    <t xml:space="preserve">The Board of Education has determined that two individuals is sufficient to perform the required duties. </t>
  </si>
  <si>
    <t xml:space="preserve">The Board should take steps it considers necessary to limit the risks that a lack of segregation of duties presents; such as but not limited to hiring additional staff. </t>
  </si>
  <si>
    <t>For ISBE Review</t>
  </si>
  <si>
    <t xml:space="preserve">Date:   </t>
  </si>
  <si>
    <t>Resolution Criteria Code Number</t>
  </si>
  <si>
    <t xml:space="preserve">Initials: </t>
  </si>
  <si>
    <t>Disposition of Questioned Costs Code Letter</t>
  </si>
  <si>
    <t>Year Ending June 30, 2020</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</si>
  <si>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</si>
  <si>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</si>
  <si>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</si>
  <si>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</si>
  <si>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</si>
  <si>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</si>
  <si>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</si>
  <si>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</si>
  <si>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</si>
  <si>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</si>
  <si>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</si>
  <si>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</si>
  <si>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</si>
  <si>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2020-</t>
  </si>
  <si>
    <t xml:space="preserve">All district accounting and financial records are maintained by two individuals. </t>
  </si>
  <si>
    <t>July, 2021</t>
  </si>
  <si>
    <t>Jeff Prusator, Superintendent</t>
  </si>
  <si>
    <t>LaSalle</t>
  </si>
  <si>
    <t>2300 W. Main Street</t>
  </si>
  <si>
    <t>Mendota</t>
  </si>
  <si>
    <t>jprusator@mendotahs.org</t>
  </si>
  <si>
    <t>Jeff Prusator</t>
  </si>
  <si>
    <t>815-539-7446</t>
  </si>
  <si>
    <t>815-539-3103</t>
  </si>
  <si>
    <t>Russell J. Rumbold II, CPA</t>
  </si>
  <si>
    <t>Part C - 20 - See Finding 2020-001.</t>
  </si>
  <si>
    <t>General Obligation School Bonds, 2016</t>
  </si>
  <si>
    <t>General Obligation School Bonds, 2017</t>
  </si>
  <si>
    <t>General Obligation School Bonds, 2019</t>
  </si>
  <si>
    <t>None</t>
  </si>
  <si>
    <t>Mendota Dist #289/Holy Cross School (Algebra I - Honors)</t>
  </si>
  <si>
    <t>LaSalle County ROE Food Co-op</t>
  </si>
  <si>
    <t>Prairie State Insurance Cooperative</t>
  </si>
  <si>
    <t>Mendota ESD #289 (Schrock) - Music</t>
  </si>
  <si>
    <t>L.E.A.S.E.</t>
  </si>
  <si>
    <t>Mendota ESD #289</t>
  </si>
  <si>
    <t>LaSalle-Peru Area Career Center</t>
  </si>
  <si>
    <t>SRAVTE &amp; ROE (Safe School)</t>
  </si>
  <si>
    <t>Page 10, Line 81 - Band fees $1,000; Course Fees $5,035; Participation Fees $13,065; Padlock Sales $570</t>
  </si>
  <si>
    <t>Page 13, Line 220 - Perkins Grant</t>
  </si>
  <si>
    <t>Page 12, Line 180 - REAP Grant</t>
  </si>
  <si>
    <t>Page 12, Line 168 - State Library Grant</t>
  </si>
  <si>
    <t>Page 10, Line 78 - Play admissions</t>
  </si>
  <si>
    <t>Page 10, Line 74 - Food service refunds and reimbursements</t>
  </si>
  <si>
    <t>Page 15, Line 41 - Title IV Teachers $11,508; Benefits $207; Small Steps $623; Graduation $2,123; Padlocks $1,511</t>
  </si>
  <si>
    <t>Page 18, Line 171 - Bank Service Fees</t>
  </si>
  <si>
    <t>Page 19, Line 237 - Title IV Teachers IMRF</t>
  </si>
  <si>
    <t>Education - Lease Buyout $34,912; Dual Credit fees $500; Library Fees $605; Choir donations $3,733; Refunds $828</t>
  </si>
  <si>
    <t>Operations and Maintenance - Reimbursements $2,527; Rebates $5,908; ComEd Energy Efficiency Program $61,483</t>
  </si>
  <si>
    <t>Transportation - Sale of Scrap</t>
  </si>
  <si>
    <t>Page 11, Line 107 -</t>
  </si>
  <si>
    <t>Page 29 - "PLEASE ENTER CONTRACRS PAID IN THE CURRENT YEAR"</t>
  </si>
  <si>
    <t>For the current fiscal year under audit, the District did not have any qualifying contracts exceeding the $25,000 limit.</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</si>
  <si>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</si>
  <si>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</si>
  <si>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Truth in Taxation</t>
  </si>
  <si>
    <t>rrumbold@gorenzcpa.com</t>
  </si>
  <si>
    <t>See PDF version</t>
  </si>
  <si>
    <t xml:space="preserve">  Mendota Twp HSD 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</si>
</sst>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9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0" fontId="55" fillId="27" borderId="141" xfId="3" applyFont="1" applyFill="1" applyBorder="1"/>
    <xf numFmtId="0" fontId="55" fillId="27" borderId="142" xfId="3" applyFont="1" applyFill="1" applyBorder="1"/>
    <xf numFmtId="0" fontId="58" fillId="27" borderId="142" xfId="3" applyFont="1" applyFill="1" applyBorder="1"/>
    <xf numFmtId="0" fontId="58" fillId="27" borderId="142" xfId="3" applyFont="1" applyFill="1" applyBorder="1" applyAlignment="1">
      <alignment horizontal="center"/>
    </xf>
    <xf numFmtId="0" fontId="58" fillId="27" borderId="143" xfId="3" applyFont="1" applyFill="1" applyBorder="1"/>
    <xf numFmtId="0" fontId="63" fillId="27" borderId="5" xfId="3" applyFont="1" applyFill="1" applyBorder="1"/>
    <xf numFmtId="0" fontId="63" fillId="27" borderId="196" xfId="3" applyFont="1" applyFill="1" applyBorder="1"/>
    <xf numFmtId="14" fontId="58" fillId="27" borderId="9" xfId="3" applyNumberFormat="1" applyFont="1" applyFill="1" applyBorder="1" applyAlignment="1">
      <alignment horizontal="center"/>
    </xf>
    <xf numFmtId="14" fontId="58" fillId="27" borderId="0" xfId="3" applyNumberFormat="1" applyFont="1" applyFill="1"/>
    <xf numFmtId="0" fontId="63" fillId="27" borderId="0" xfId="3" applyFont="1" applyFill="1" applyAlignment="1">
      <alignment horizontal="left"/>
    </xf>
    <xf numFmtId="0" fontId="56" fillId="27" borderId="0" xfId="3" applyFont="1" applyFill="1" applyAlignment="1">
      <alignment horizontal="left"/>
    </xf>
    <xf numFmtId="0" fontId="58" fillId="27" borderId="0" xfId="3" applyFont="1" applyFill="1"/>
    <xf numFmtId="0" fontId="58" fillId="27" borderId="0" xfId="3" applyFont="1" applyFill="1" applyAlignment="1">
      <alignment horizontal="center"/>
    </xf>
    <xf numFmtId="0" fontId="58" fillId="27" borderId="9" xfId="3" applyFont="1" applyFill="1" applyBorder="1"/>
    <xf numFmtId="0" fontId="58" fillId="27" borderId="40" xfId="3" applyFont="1" applyFill="1" applyBorder="1" applyAlignment="1">
      <alignment horizontal="center"/>
    </xf>
    <xf numFmtId="0" fontId="58" fillId="27" borderId="145" xfId="3" applyFont="1" applyFill="1" applyBorder="1" applyAlignment="1">
      <alignment horizontal="center"/>
    </xf>
    <xf numFmtId="0" fontId="63" fillId="27" borderId="0" xfId="3" applyFont="1" applyFill="1"/>
    <xf numFmtId="0" fontId="82" fillId="0" borderId="0" xfId="3" applyFont="1" applyAlignment="1">
      <alignment horizontal="right" vertical="top" textRotation="180"/>
    </xf>
    <xf numFmtId="0" fontId="58" fillId="27" borderId="50" xfId="3" applyFont="1" applyFill="1" applyBorder="1"/>
    <xf numFmtId="0" fontId="58" fillId="27" borderId="9" xfId="3" applyFont="1" applyFill="1" applyBorder="1" applyAlignment="1">
      <alignment horizontal="center"/>
    </xf>
    <xf numFmtId="0" fontId="58" fillId="27" borderId="59" xfId="3" applyFont="1" applyFill="1" applyBorder="1"/>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7">
        <f>+'AFR20'!E4</f>
        <v>44119</v>
      </c>
      <c r="C1" s="2187"/>
      <c r="D1" s="2188"/>
      <c r="I1" s="2146" t="s">
        <v>402</v>
      </c>
      <c r="J1" s="2147"/>
      <c r="K1" s="2147"/>
      <c r="L1" s="2147"/>
      <c r="M1" s="2147"/>
      <c r="N1" s="2147"/>
      <c r="O1" s="2147"/>
      <c r="P1" s="2147"/>
      <c r="Q1" s="2147"/>
      <c r="R1" s="2147"/>
      <c r="S1" s="2147"/>
    </row>
    <row r="2" spans="1:32" ht="12" customHeight="1" x14ac:dyDescent="0.2">
      <c r="A2" s="1831" t="str">
        <f>"Due to ISBE on "</f>
        <v xml:space="preserve">Due to ISBE on </v>
      </c>
      <c r="B2" s="2189">
        <f>+'AFR20'!F4</f>
        <v>44151</v>
      </c>
      <c r="C2" s="2189"/>
      <c r="D2" s="2190"/>
      <c r="I2" s="2148" t="s">
        <v>2003</v>
      </c>
      <c r="J2" s="2147"/>
      <c r="K2" s="2147"/>
      <c r="L2" s="2147"/>
      <c r="M2" s="2147"/>
      <c r="N2" s="2147"/>
      <c r="O2" s="2147"/>
      <c r="P2" s="2147"/>
      <c r="Q2" s="2147"/>
      <c r="R2" s="2147"/>
      <c r="S2" s="2147"/>
    </row>
    <row r="3" spans="1:32" ht="12" customHeight="1" x14ac:dyDescent="0.2">
      <c r="A3" s="1834" t="str">
        <f>"SD/JA"&amp;MID('AFR20'!E2,3,2)</f>
        <v>SD/JA20</v>
      </c>
      <c r="B3" s="151"/>
      <c r="C3" s="151"/>
      <c r="D3" s="152"/>
      <c r="I3" s="2148" t="s">
        <v>52</v>
      </c>
      <c r="J3" s="2147"/>
      <c r="K3" s="2147"/>
      <c r="L3" s="2147"/>
      <c r="M3" s="2147"/>
      <c r="N3" s="2147"/>
      <c r="O3" s="2147"/>
      <c r="P3" s="2147"/>
      <c r="Q3" s="2147"/>
      <c r="R3" s="2147"/>
      <c r="S3" s="2147"/>
    </row>
    <row r="4" spans="1:32" ht="12" customHeight="1" x14ac:dyDescent="0.2">
      <c r="A4" s="37"/>
      <c r="I4" s="2148" t="s">
        <v>521</v>
      </c>
      <c r="J4" s="2147"/>
      <c r="K4" s="2147"/>
      <c r="L4" s="2147"/>
      <c r="M4" s="2147"/>
      <c r="N4" s="2147"/>
      <c r="O4" s="2147"/>
      <c r="P4" s="2147"/>
      <c r="Q4" s="2147"/>
      <c r="R4" s="2147"/>
      <c r="S4" s="2147"/>
    </row>
    <row r="5" spans="1:32" ht="14.1" customHeight="1" x14ac:dyDescent="0.2">
      <c r="B5" s="101" t="s">
        <v>2051</v>
      </c>
      <c r="C5" s="26" t="s">
        <v>904</v>
      </c>
      <c r="D5" s="81"/>
      <c r="E5" s="81"/>
      <c r="H5" s="38"/>
      <c r="I5" s="2156" t="s">
        <v>675</v>
      </c>
      <c r="J5" s="2155"/>
      <c r="K5" s="2155"/>
      <c r="L5" s="2155"/>
      <c r="M5" s="2155"/>
      <c r="N5" s="2155"/>
      <c r="O5" s="2155"/>
      <c r="P5" s="2155"/>
      <c r="Q5" s="2155"/>
      <c r="R5" s="2155"/>
      <c r="S5" s="2155"/>
      <c r="AF5" s="1827"/>
    </row>
    <row r="6" spans="1:32" ht="14.1" customHeight="1" x14ac:dyDescent="0.2">
      <c r="B6" s="101"/>
      <c r="C6" s="26" t="s">
        <v>905</v>
      </c>
      <c r="D6" s="81"/>
      <c r="E6" s="81"/>
      <c r="I6" s="2154" t="s">
        <v>877</v>
      </c>
      <c r="J6" s="2155"/>
      <c r="K6" s="2155"/>
      <c r="L6" s="2155"/>
      <c r="M6" s="2155"/>
      <c r="N6" s="2155"/>
      <c r="O6" s="2155"/>
      <c r="P6" s="2155"/>
      <c r="Q6" s="2155"/>
      <c r="R6" s="2155"/>
      <c r="S6" s="2155"/>
    </row>
    <row r="7" spans="1:32" ht="12.2" customHeight="1" x14ac:dyDescent="0.2">
      <c r="I7" s="2149" t="str">
        <f>"June 30, "&amp;'AFR20'!E2</f>
        <v>June 30, 2020</v>
      </c>
      <c r="J7" s="2150"/>
      <c r="K7" s="2150"/>
      <c r="L7" s="2150"/>
      <c r="M7" s="2150"/>
      <c r="N7" s="2150"/>
      <c r="O7" s="2150"/>
      <c r="P7" s="2150"/>
      <c r="Q7" s="2150"/>
      <c r="R7" s="2150"/>
      <c r="S7" s="215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1" t="s">
        <v>669</v>
      </c>
      <c r="J9" s="2152"/>
      <c r="K9" s="2152"/>
      <c r="L9" s="2152"/>
      <c r="M9" s="2152"/>
      <c r="N9" s="2152"/>
      <c r="O9" s="2152"/>
      <c r="P9" s="2152"/>
      <c r="Q9" s="2152"/>
      <c r="R9" s="2152"/>
      <c r="S9" s="2153"/>
      <c r="T9" s="2204" t="s">
        <v>530</v>
      </c>
      <c r="U9" s="2205"/>
      <c r="V9" s="2205"/>
      <c r="W9" s="2205"/>
      <c r="X9" s="2205"/>
      <c r="Y9" s="2205"/>
      <c r="Z9" s="2205"/>
      <c r="AA9" s="2206"/>
    </row>
    <row r="10" spans="1:32" ht="13.5" customHeight="1" x14ac:dyDescent="0.2">
      <c r="A10" s="2211" t="s">
        <v>670</v>
      </c>
      <c r="B10" s="2212"/>
      <c r="C10" s="2212"/>
      <c r="D10" s="2212"/>
      <c r="E10" s="2212"/>
      <c r="F10" s="2212"/>
      <c r="G10" s="2212"/>
      <c r="H10" s="2213"/>
      <c r="I10" s="29"/>
      <c r="J10" s="30"/>
      <c r="K10" s="28"/>
      <c r="R10" s="30"/>
      <c r="S10" s="30"/>
      <c r="T10" s="2207"/>
      <c r="U10" s="2155"/>
      <c r="V10" s="2155"/>
      <c r="W10" s="2155"/>
      <c r="X10" s="2155"/>
      <c r="Y10" s="2155"/>
      <c r="Z10" s="2155"/>
      <c r="AA10" s="2161"/>
    </row>
    <row r="11" spans="1:32" ht="14.25" customHeight="1" x14ac:dyDescent="0.2">
      <c r="A11" s="2214" t="s">
        <v>949</v>
      </c>
      <c r="B11" s="2215"/>
      <c r="C11" s="2215"/>
      <c r="D11" s="2215"/>
      <c r="E11" s="2215"/>
      <c r="F11" s="2215"/>
      <c r="G11" s="2215"/>
      <c r="H11" s="2216"/>
      <c r="I11" s="27"/>
      <c r="J11" s="71"/>
      <c r="K11" s="27"/>
      <c r="O11" s="144" t="s">
        <v>2051</v>
      </c>
      <c r="P11" s="97" t="s">
        <v>199</v>
      </c>
      <c r="Q11" s="30"/>
      <c r="R11" s="28"/>
      <c r="S11" s="27"/>
      <c r="T11" s="2208"/>
      <c r="U11" s="2209"/>
      <c r="V11" s="2209"/>
      <c r="W11" s="2209"/>
      <c r="X11" s="2209"/>
      <c r="Y11" s="2209"/>
      <c r="Z11" s="2209"/>
      <c r="AA11" s="221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7">
        <v>35050280017</v>
      </c>
      <c r="B13" s="2168"/>
      <c r="C13" s="2168"/>
      <c r="D13" s="2168"/>
      <c r="E13" s="2168"/>
      <c r="F13" s="2168"/>
      <c r="G13" s="2168"/>
      <c r="H13" s="2169"/>
      <c r="I13" s="31"/>
      <c r="J13" s="30"/>
      <c r="K13" s="28"/>
      <c r="L13" s="30"/>
      <c r="M13" s="30"/>
      <c r="N13" s="30"/>
      <c r="O13" s="30"/>
      <c r="P13" s="30"/>
      <c r="Q13" s="30"/>
      <c r="R13" s="30"/>
      <c r="S13" s="30"/>
      <c r="T13" s="2173" t="s">
        <v>2052</v>
      </c>
      <c r="U13" s="2174"/>
      <c r="V13" s="2174"/>
      <c r="W13" s="2174"/>
      <c r="X13" s="2174"/>
      <c r="Y13" s="2175"/>
      <c r="Z13" s="2175"/>
      <c r="AA13" s="217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70" t="s">
        <v>2094</v>
      </c>
      <c r="B15" s="2171"/>
      <c r="C15" s="2171"/>
      <c r="D15" s="2171"/>
      <c r="E15" s="2171"/>
      <c r="F15" s="2171"/>
      <c r="G15" s="2171"/>
      <c r="H15" s="2172"/>
      <c r="T15" s="2177" t="s">
        <v>2101</v>
      </c>
      <c r="U15" s="2134"/>
      <c r="V15" s="2134"/>
      <c r="W15" s="2134"/>
      <c r="X15" s="2134"/>
      <c r="Y15" s="2178"/>
      <c r="Z15" s="2178"/>
      <c r="AA15" s="217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0" t="s">
        <v>2135</v>
      </c>
      <c r="B17" s="2141"/>
      <c r="C17" s="2141"/>
      <c r="D17" s="2141"/>
      <c r="E17" s="2141"/>
      <c r="F17" s="2141"/>
      <c r="G17" s="2141"/>
      <c r="H17" s="2166"/>
      <c r="T17" s="2184" t="s">
        <v>2053</v>
      </c>
      <c r="U17" s="2185"/>
      <c r="V17" s="2185"/>
      <c r="W17" s="2185"/>
      <c r="X17" s="2185"/>
      <c r="Y17" s="2185"/>
      <c r="Z17" s="2185"/>
      <c r="AA17" s="2186"/>
    </row>
    <row r="18" spans="1:27" ht="13.5" customHeight="1" x14ac:dyDescent="0.2">
      <c r="A18" s="82" t="s">
        <v>527</v>
      </c>
      <c r="B18" s="73"/>
      <c r="C18" s="69"/>
      <c r="D18" s="73"/>
      <c r="E18" s="73"/>
      <c r="F18" s="73"/>
      <c r="G18" s="73"/>
      <c r="H18" s="53"/>
      <c r="I18" s="216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x14ac:dyDescent="0.2">
      <c r="A19" s="2170" t="s">
        <v>2095</v>
      </c>
      <c r="B19" s="2126"/>
      <c r="C19" s="2126"/>
      <c r="D19" s="2126"/>
      <c r="E19" s="2126"/>
      <c r="F19" s="2126"/>
      <c r="G19" s="2126"/>
      <c r="H19" s="2106"/>
      <c r="I19" s="30"/>
      <c r="J19" s="96"/>
      <c r="K19" s="40"/>
      <c r="L19" s="38"/>
      <c r="M19" s="109" t="s">
        <v>312</v>
      </c>
      <c r="P19" s="27"/>
      <c r="Q19" s="27"/>
      <c r="R19" s="27"/>
      <c r="S19" s="31"/>
      <c r="T19" s="2170" t="s">
        <v>2054</v>
      </c>
      <c r="U19" s="2105"/>
      <c r="V19" s="2105"/>
      <c r="W19" s="2106"/>
      <c r="X19" s="2182" t="s">
        <v>2055</v>
      </c>
      <c r="Y19" s="2183"/>
      <c r="Z19" s="2180">
        <v>61614</v>
      </c>
      <c r="AA19" s="218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4" t="s">
        <v>2096</v>
      </c>
      <c r="B21" s="2105"/>
      <c r="C21" s="2105"/>
      <c r="D21" s="2105"/>
      <c r="E21" s="2105"/>
      <c r="F21" s="2105"/>
      <c r="G21" s="2105"/>
      <c r="H21" s="2106"/>
      <c r="I21" s="2160" t="s">
        <v>673</v>
      </c>
      <c r="J21" s="2155"/>
      <c r="K21" s="2155"/>
      <c r="L21" s="2155"/>
      <c r="M21" s="2155"/>
      <c r="N21" s="2155"/>
      <c r="O21" s="2155"/>
      <c r="P21" s="2155"/>
      <c r="Q21" s="2155"/>
      <c r="R21" s="2155"/>
      <c r="S21" s="2161"/>
      <c r="T21" s="2195" t="s">
        <v>2056</v>
      </c>
      <c r="U21" s="2196"/>
      <c r="V21" s="2196"/>
      <c r="W21" s="2196"/>
      <c r="X21" s="2201" t="s">
        <v>2057</v>
      </c>
      <c r="Y21" s="2202"/>
      <c r="Z21" s="2202"/>
      <c r="AA21" s="2203"/>
    </row>
    <row r="22" spans="1:27" ht="13.5" customHeight="1" x14ac:dyDescent="0.2">
      <c r="A22" s="84" t="s">
        <v>528</v>
      </c>
      <c r="B22" s="56"/>
      <c r="C22" s="56"/>
      <c r="D22" s="56"/>
      <c r="E22" s="56"/>
      <c r="F22" s="56"/>
      <c r="G22" s="56"/>
      <c r="H22" s="57"/>
      <c r="I22" s="2162" t="s">
        <v>1412</v>
      </c>
      <c r="J22" s="2163"/>
      <c r="K22" s="2163"/>
      <c r="L22" s="2163"/>
      <c r="M22" s="2163"/>
      <c r="N22" s="2163"/>
      <c r="O22" s="2163"/>
      <c r="P22" s="2163"/>
      <c r="Q22" s="2163"/>
      <c r="R22" s="2163"/>
      <c r="S22" s="2164"/>
      <c r="T22" s="82" t="s">
        <v>1499</v>
      </c>
      <c r="U22" s="48"/>
      <c r="V22" s="69"/>
      <c r="W22" s="48"/>
      <c r="X22" s="155" t="s">
        <v>1307</v>
      </c>
      <c r="Z22" s="43"/>
      <c r="AA22" s="44"/>
    </row>
    <row r="23" spans="1:27" ht="13.5" customHeight="1" x14ac:dyDescent="0.2">
      <c r="A23" s="2157" t="s">
        <v>2097</v>
      </c>
      <c r="B23" s="2158"/>
      <c r="C23" s="2158"/>
      <c r="D23" s="2158"/>
      <c r="E23" s="2158"/>
      <c r="F23" s="2158"/>
      <c r="G23" s="2158"/>
      <c r="H23" s="2159"/>
      <c r="T23" s="2140" t="s">
        <v>2058</v>
      </c>
      <c r="U23" s="2194"/>
      <c r="V23" s="2194"/>
      <c r="W23" s="2194"/>
      <c r="X23" s="2198">
        <v>44501</v>
      </c>
      <c r="Y23" s="2199"/>
      <c r="Z23" s="2199"/>
      <c r="AA23" s="2200"/>
    </row>
    <row r="24" spans="1:27" ht="14.1" customHeight="1" x14ac:dyDescent="0.2">
      <c r="A24" s="85" t="s">
        <v>672</v>
      </c>
      <c r="B24" s="46"/>
      <c r="C24" s="46"/>
      <c r="D24" s="46"/>
      <c r="E24" s="46"/>
      <c r="F24" s="46"/>
      <c r="G24" s="46"/>
      <c r="H24" s="58"/>
      <c r="J24" s="2127">
        <f>IF(B5="x",IF(AUDITCHECK!D29="AFR form Incomplete.","",IF(AUDITCHECK!D29="Deficit reduction plan is required.","School District must complete a deficit reduction plan in the 2020-2021 Budget",)),"")</f>
        <v>0</v>
      </c>
      <c r="K24" s="2127"/>
      <c r="L24" s="2127"/>
      <c r="M24" s="2127"/>
      <c r="N24" s="2127"/>
      <c r="O24" s="2127"/>
      <c r="P24" s="2127"/>
      <c r="Q24" s="2127"/>
      <c r="R24" s="2127"/>
      <c r="S24" s="2128"/>
      <c r="T24" s="102" t="s">
        <v>528</v>
      </c>
      <c r="U24" s="103"/>
      <c r="V24" s="103"/>
      <c r="W24" s="103"/>
      <c r="X24" s="104"/>
      <c r="Y24" s="104"/>
      <c r="Z24" s="104"/>
      <c r="AA24" s="105"/>
    </row>
    <row r="25" spans="1:27" ht="14.1" customHeight="1" x14ac:dyDescent="0.2">
      <c r="A25" s="2104">
        <v>61342</v>
      </c>
      <c r="B25" s="2105"/>
      <c r="C25" s="2105"/>
      <c r="D25" s="2105"/>
      <c r="E25" s="2105"/>
      <c r="F25" s="2105"/>
      <c r="G25" s="2105"/>
      <c r="H25" s="2106"/>
      <c r="I25" s="110"/>
      <c r="J25" s="2129"/>
      <c r="K25" s="2129"/>
      <c r="L25" s="2129"/>
      <c r="M25" s="2129"/>
      <c r="N25" s="2129"/>
      <c r="O25" s="2129"/>
      <c r="P25" s="2129"/>
      <c r="Q25" s="2129"/>
      <c r="R25" s="2129"/>
      <c r="S25" s="2130"/>
      <c r="T25" s="2191" t="s">
        <v>2133</v>
      </c>
      <c r="U25" s="2192"/>
      <c r="V25" s="2192"/>
      <c r="W25" s="2192"/>
      <c r="X25" s="2192"/>
      <c r="Y25" s="2192"/>
      <c r="Z25" s="2192"/>
      <c r="AA25" s="219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15" t="s">
        <v>1494</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6"/>
      <c r="Q35" s="2105"/>
      <c r="R35" s="210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0" t="s">
        <v>2098</v>
      </c>
      <c r="B38" s="2141"/>
      <c r="C38" s="2141"/>
      <c r="D38" s="2141"/>
      <c r="E38" s="2141"/>
      <c r="F38" s="2105"/>
      <c r="G38" s="2105"/>
      <c r="H38" s="2106"/>
      <c r="I38" s="2133"/>
      <c r="J38" s="2134"/>
      <c r="K38" s="2134"/>
      <c r="L38" s="2134"/>
      <c r="M38" s="2134"/>
      <c r="N38" s="2134"/>
      <c r="O38" s="2134"/>
      <c r="P38" s="2135"/>
      <c r="Q38" s="2135"/>
      <c r="R38" s="2135"/>
      <c r="S38" s="2136"/>
      <c r="T38" s="2177"/>
      <c r="U38" s="2134"/>
      <c r="V38" s="2134"/>
      <c r="W38" s="2134"/>
      <c r="X38" s="2135"/>
      <c r="Y38" s="2135"/>
      <c r="Z38" s="2135"/>
      <c r="AA38" s="2136"/>
    </row>
    <row r="39" spans="1:27" ht="12" customHeight="1" x14ac:dyDescent="0.2">
      <c r="A39" s="2110" t="s">
        <v>528</v>
      </c>
      <c r="B39" s="2111"/>
      <c r="C39" s="69"/>
      <c r="D39" s="66"/>
      <c r="E39" s="66"/>
      <c r="F39" s="76"/>
      <c r="G39" s="66"/>
      <c r="H39" s="53"/>
      <c r="I39" s="2110" t="s">
        <v>528</v>
      </c>
      <c r="J39" s="2111"/>
      <c r="K39" s="2111"/>
      <c r="L39" s="2111"/>
      <c r="M39" s="2111"/>
      <c r="N39" s="64"/>
      <c r="O39" s="69"/>
      <c r="P39" s="69"/>
      <c r="Q39" s="75"/>
      <c r="R39" s="69"/>
      <c r="S39" s="53"/>
      <c r="T39" s="69" t="s">
        <v>528</v>
      </c>
      <c r="U39" s="48"/>
      <c r="V39" s="69"/>
      <c r="W39" s="47"/>
      <c r="X39" s="75"/>
      <c r="Y39" s="43"/>
      <c r="Z39" s="43"/>
      <c r="AA39" s="44"/>
    </row>
    <row r="40" spans="1:27" ht="13.5" customHeight="1" x14ac:dyDescent="0.2">
      <c r="A40" s="2118" t="s">
        <v>2097</v>
      </c>
      <c r="B40" s="2119"/>
      <c r="C40" s="2120"/>
      <c r="D40" s="2120"/>
      <c r="E40" s="2120"/>
      <c r="F40" s="2121"/>
      <c r="G40" s="2121"/>
      <c r="H40" s="2122"/>
      <c r="I40" s="2143"/>
      <c r="J40" s="2144"/>
      <c r="K40" s="2144"/>
      <c r="L40" s="2144"/>
      <c r="M40" s="2144"/>
      <c r="N40" s="2144"/>
      <c r="O40" s="2144"/>
      <c r="P40" s="2144"/>
      <c r="Q40" s="2144"/>
      <c r="R40" s="2144"/>
      <c r="S40" s="2145"/>
      <c r="T40" s="2143"/>
      <c r="U40" s="2197"/>
      <c r="V40" s="2144"/>
      <c r="W40" s="2144"/>
      <c r="X40" s="2144"/>
      <c r="Y40" s="2144"/>
      <c r="Z40" s="2144"/>
      <c r="AA40" s="214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2099</v>
      </c>
      <c r="B42" s="2124"/>
      <c r="C42" s="2125"/>
      <c r="D42" s="2123" t="s">
        <v>2100</v>
      </c>
      <c r="E42" s="2124"/>
      <c r="F42" s="2124"/>
      <c r="G42" s="2124"/>
      <c r="H42" s="2125"/>
      <c r="I42" s="2107"/>
      <c r="J42" s="2108"/>
      <c r="K42" s="2108"/>
      <c r="L42" s="2108"/>
      <c r="M42" s="2108"/>
      <c r="N42" s="2108"/>
      <c r="O42" s="2109"/>
      <c r="P42" s="2142"/>
      <c r="Q42" s="2108"/>
      <c r="R42" s="2108"/>
      <c r="S42" s="2109"/>
      <c r="T42" s="2107"/>
      <c r="U42" s="2108"/>
      <c r="V42" s="2108"/>
      <c r="W42" s="2109"/>
      <c r="X42" s="2142"/>
      <c r="Y42" s="2108"/>
      <c r="Z42" s="2108"/>
      <c r="AA42" s="210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12"/>
      <c r="J44" s="2113"/>
      <c r="K44" s="2113"/>
      <c r="L44" s="2113"/>
      <c r="M44" s="2113"/>
      <c r="N44" s="2113"/>
      <c r="O44" s="2113"/>
      <c r="P44" s="2113"/>
      <c r="Q44" s="2113"/>
      <c r="R44" s="2113"/>
      <c r="S44" s="2114"/>
      <c r="T44" s="2112"/>
      <c r="U44" s="2131"/>
      <c r="V44" s="2131"/>
      <c r="W44" s="2131"/>
      <c r="X44" s="2131"/>
      <c r="Y44" s="2131"/>
      <c r="Z44" s="2113"/>
      <c r="AA44" s="211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20" t="s">
        <v>1056</v>
      </c>
      <c r="B35" s="2220"/>
      <c r="C35" s="2220"/>
      <c r="D35" s="2220"/>
      <c r="E35" s="22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7" t="s">
        <v>686</v>
      </c>
      <c r="B40" s="2217"/>
      <c r="C40" s="2217"/>
      <c r="D40" s="2217"/>
      <c r="E40" s="2217"/>
    </row>
    <row r="41" spans="1:5" x14ac:dyDescent="0.2">
      <c r="A41" s="2218" t="s">
        <v>1591</v>
      </c>
      <c r="B41" s="2218"/>
      <c r="C41" s="2218"/>
      <c r="D41" s="2218"/>
      <c r="E41" s="2218"/>
    </row>
    <row r="42" spans="1:5" ht="12.75" customHeight="1" x14ac:dyDescent="0.2">
      <c r="A42" s="2219" t="s">
        <v>1015</v>
      </c>
      <c r="B42" s="2219"/>
      <c r="C42" s="2219"/>
      <c r="D42" s="2219"/>
      <c r="E42" s="221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1" t="s">
        <v>1158</v>
      </c>
      <c r="B2" s="2221"/>
      <c r="C2" s="2221"/>
      <c r="D2" s="2221"/>
      <c r="E2" s="2221"/>
      <c r="F2" s="2221"/>
      <c r="G2" s="2221"/>
      <c r="H2" s="2221"/>
      <c r="I2" s="2221"/>
      <c r="J2" s="222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35" t="s">
        <v>1616</v>
      </c>
      <c r="B35" s="2236"/>
      <c r="C35" s="2236"/>
      <c r="D35" s="2236"/>
      <c r="E35" s="2237"/>
      <c r="F35" s="2237"/>
      <c r="G35" s="2237"/>
      <c r="H35" s="2237"/>
      <c r="I35" s="223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5" t="s">
        <v>310</v>
      </c>
      <c r="B47" s="2238"/>
      <c r="C47" s="2238"/>
      <c r="D47" s="2238"/>
      <c r="E47" s="2239"/>
      <c r="F47" s="2239"/>
      <c r="G47" s="2239"/>
      <c r="H47" s="2239"/>
      <c r="I47" s="223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2"/>
      <c r="C57" s="2243"/>
      <c r="D57" s="2243"/>
      <c r="E57" s="2243"/>
      <c r="F57" s="2243"/>
      <c r="G57" s="2243"/>
      <c r="H57" s="2243"/>
      <c r="I57" s="2243"/>
      <c r="J57" s="2244"/>
    </row>
    <row r="58" spans="1:10" s="176" customFormat="1" x14ac:dyDescent="0.2">
      <c r="A58" s="248"/>
      <c r="B58" s="2245"/>
      <c r="C58" s="2246"/>
      <c r="D58" s="2246"/>
      <c r="E58" s="2246"/>
      <c r="F58" s="2246"/>
      <c r="G58" s="2246"/>
      <c r="H58" s="2246"/>
      <c r="I58" s="2246"/>
      <c r="J58" s="2247"/>
    </row>
    <row r="59" spans="1:10" s="176" customFormat="1" x14ac:dyDescent="0.2">
      <c r="A59" s="248"/>
      <c r="B59" s="2245"/>
      <c r="C59" s="2246"/>
      <c r="D59" s="2246"/>
      <c r="E59" s="2246"/>
      <c r="F59" s="2246"/>
      <c r="G59" s="2246"/>
      <c r="H59" s="2246"/>
      <c r="I59" s="2246"/>
      <c r="J59" s="2247"/>
    </row>
    <row r="60" spans="1:10" s="176" customFormat="1" x14ac:dyDescent="0.2">
      <c r="A60" s="248"/>
      <c r="B60" s="2245"/>
      <c r="C60" s="2246"/>
      <c r="D60" s="2246"/>
      <c r="E60" s="2246"/>
      <c r="F60" s="2246"/>
      <c r="G60" s="2246"/>
      <c r="H60" s="2246"/>
      <c r="I60" s="2246"/>
      <c r="J60" s="2247"/>
    </row>
    <row r="61" spans="1:10" s="176" customFormat="1" x14ac:dyDescent="0.2">
      <c r="A61" s="248"/>
      <c r="B61" s="2245"/>
      <c r="C61" s="2246"/>
      <c r="D61" s="2246"/>
      <c r="E61" s="2246"/>
      <c r="F61" s="2246"/>
      <c r="G61" s="2246"/>
      <c r="H61" s="2246"/>
      <c r="I61" s="2246"/>
      <c r="J61" s="2247"/>
    </row>
    <row r="62" spans="1:10" s="176" customFormat="1" x14ac:dyDescent="0.2">
      <c r="A62" s="248"/>
      <c r="B62" s="2245"/>
      <c r="C62" s="2246"/>
      <c r="D62" s="2246"/>
      <c r="E62" s="2246"/>
      <c r="F62" s="2246"/>
      <c r="G62" s="2246"/>
      <c r="H62" s="2246"/>
      <c r="I62" s="2246"/>
      <c r="J62" s="2247"/>
    </row>
    <row r="63" spans="1:10" s="176" customFormat="1" x14ac:dyDescent="0.2">
      <c r="A63" s="248"/>
      <c r="B63" s="2245"/>
      <c r="C63" s="2246"/>
      <c r="D63" s="2246"/>
      <c r="E63" s="2246"/>
      <c r="F63" s="2246"/>
      <c r="G63" s="2246"/>
      <c r="H63" s="2246"/>
      <c r="I63" s="2246"/>
      <c r="J63" s="2247"/>
    </row>
    <row r="64" spans="1:10" s="176" customFormat="1" x14ac:dyDescent="0.2">
      <c r="A64" s="248"/>
      <c r="B64" s="2245"/>
      <c r="C64" s="2246"/>
      <c r="D64" s="2246"/>
      <c r="E64" s="2246"/>
      <c r="F64" s="2246"/>
      <c r="G64" s="2246"/>
      <c r="H64" s="2246"/>
      <c r="I64" s="2246"/>
      <c r="J64" s="2247"/>
    </row>
    <row r="65" spans="1:11" s="176" customFormat="1" x14ac:dyDescent="0.2">
      <c r="A65" s="248"/>
      <c r="B65" s="2245"/>
      <c r="C65" s="2246"/>
      <c r="D65" s="2246"/>
      <c r="E65" s="2246"/>
      <c r="F65" s="2246"/>
      <c r="G65" s="2246"/>
      <c r="H65" s="2246"/>
      <c r="I65" s="2246"/>
      <c r="J65" s="2247"/>
    </row>
    <row r="66" spans="1:11" s="176" customFormat="1" x14ac:dyDescent="0.2">
      <c r="A66" s="248"/>
      <c r="B66" s="2245"/>
      <c r="C66" s="2246"/>
      <c r="D66" s="2246"/>
      <c r="E66" s="2246"/>
      <c r="F66" s="2246"/>
      <c r="G66" s="2246"/>
      <c r="H66" s="2246"/>
      <c r="I66" s="2246"/>
      <c r="J66" s="2247"/>
    </row>
    <row r="67" spans="1:11" s="176" customFormat="1" ht="9" customHeight="1" x14ac:dyDescent="0.2">
      <c r="A67" s="249"/>
      <c r="B67" s="2248"/>
      <c r="C67" s="2249"/>
      <c r="D67" s="2249"/>
      <c r="E67" s="2249"/>
      <c r="F67" s="2249"/>
      <c r="G67" s="2249"/>
      <c r="H67" s="2249"/>
      <c r="I67" s="2249"/>
      <c r="J67" s="225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5" t="s">
        <v>1312</v>
      </c>
      <c r="B70" s="2238"/>
      <c r="C70" s="2238"/>
      <c r="D70" s="2238"/>
      <c r="E70" s="2239"/>
      <c r="F70" s="2239"/>
      <c r="G70" s="2239"/>
      <c r="H70" s="2239"/>
      <c r="I70" s="223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0" t="s">
        <v>1309</v>
      </c>
      <c r="B83" s="2240"/>
      <c r="C83" s="2240"/>
      <c r="D83" s="224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51" t="s">
        <v>1989</v>
      </c>
      <c r="B85" s="2251"/>
      <c r="C85" s="2251"/>
      <c r="D85" s="225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53" t="s">
        <v>1989</v>
      </c>
      <c r="B88" s="2254"/>
      <c r="C88" s="2254"/>
      <c r="D88" s="225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2" t="s">
        <v>2102</v>
      </c>
      <c r="C102" s="2223"/>
      <c r="D102" s="2223"/>
      <c r="E102" s="2223"/>
      <c r="F102" s="2223"/>
      <c r="G102" s="2223"/>
      <c r="H102" s="2223"/>
      <c r="I102" s="2224"/>
    </row>
    <row r="103" spans="1:9" s="176" customFormat="1" ht="11.25" customHeight="1" x14ac:dyDescent="0.2">
      <c r="A103" s="294"/>
      <c r="B103" s="2225"/>
      <c r="C103" s="2226"/>
      <c r="D103" s="2226"/>
      <c r="E103" s="2226"/>
      <c r="F103" s="2226"/>
      <c r="G103" s="2226"/>
      <c r="H103" s="2226"/>
      <c r="I103" s="2227"/>
    </row>
    <row r="104" spans="1:9" s="176" customFormat="1" ht="11.25" customHeight="1" x14ac:dyDescent="0.2">
      <c r="A104" s="294"/>
      <c r="B104" s="2225"/>
      <c r="C104" s="2226"/>
      <c r="D104" s="2226"/>
      <c r="E104" s="2226"/>
      <c r="F104" s="2226"/>
      <c r="G104" s="2226"/>
      <c r="H104" s="2226"/>
      <c r="I104" s="2227"/>
    </row>
    <row r="105" spans="1:9" s="176" customFormat="1" x14ac:dyDescent="0.2">
      <c r="A105" s="294"/>
      <c r="B105" s="2225"/>
      <c r="C105" s="2226"/>
      <c r="D105" s="2226"/>
      <c r="E105" s="2226"/>
      <c r="F105" s="2226"/>
      <c r="G105" s="2226"/>
      <c r="H105" s="2226"/>
      <c r="I105" s="2227"/>
    </row>
    <row r="106" spans="1:9" s="176" customFormat="1" ht="11.25" customHeight="1" x14ac:dyDescent="0.2">
      <c r="A106" s="294"/>
      <c r="B106" s="2225"/>
      <c r="C106" s="2226"/>
      <c r="D106" s="2226"/>
      <c r="E106" s="2226"/>
      <c r="F106" s="2226"/>
      <c r="G106" s="2226"/>
      <c r="H106" s="2226"/>
      <c r="I106" s="2227"/>
    </row>
    <row r="107" spans="1:9" s="176" customFormat="1" ht="11.25" customHeight="1" x14ac:dyDescent="0.2">
      <c r="A107" s="294"/>
      <c r="B107" s="2225"/>
      <c r="C107" s="2226"/>
      <c r="D107" s="2226"/>
      <c r="E107" s="2226"/>
      <c r="F107" s="2226"/>
      <c r="G107" s="2226"/>
      <c r="H107" s="2226"/>
      <c r="I107" s="2227"/>
    </row>
    <row r="108" spans="1:9" s="176" customFormat="1" ht="11.25" customHeight="1" x14ac:dyDescent="0.2">
      <c r="A108" s="294"/>
      <c r="B108" s="2225"/>
      <c r="C108" s="2226"/>
      <c r="D108" s="2226"/>
      <c r="E108" s="2226"/>
      <c r="F108" s="2226"/>
      <c r="G108" s="2226"/>
      <c r="H108" s="2226"/>
      <c r="I108" s="2227"/>
    </row>
    <row r="109" spans="1:9" s="176" customFormat="1" ht="11.25" customHeight="1" x14ac:dyDescent="0.2">
      <c r="A109" s="294"/>
      <c r="B109" s="2225"/>
      <c r="C109" s="2226"/>
      <c r="D109" s="2226"/>
      <c r="E109" s="2226"/>
      <c r="F109" s="2226"/>
      <c r="G109" s="2226"/>
      <c r="H109" s="2226"/>
      <c r="I109" s="2227"/>
    </row>
    <row r="110" spans="1:9" s="176" customFormat="1" ht="11.25" customHeight="1" x14ac:dyDescent="0.2">
      <c r="A110" s="294"/>
      <c r="B110" s="2225"/>
      <c r="C110" s="2226"/>
      <c r="D110" s="2226"/>
      <c r="E110" s="2226"/>
      <c r="F110" s="2226"/>
      <c r="G110" s="2226"/>
      <c r="H110" s="2226"/>
      <c r="I110" s="2227"/>
    </row>
    <row r="111" spans="1:9" s="176" customFormat="1" ht="11.25" customHeight="1" x14ac:dyDescent="0.2">
      <c r="A111" s="294"/>
      <c r="B111" s="2225"/>
      <c r="C111" s="2226"/>
      <c r="D111" s="2226"/>
      <c r="E111" s="2226"/>
      <c r="F111" s="2226"/>
      <c r="G111" s="2226"/>
      <c r="H111" s="2226"/>
      <c r="I111" s="2227"/>
    </row>
    <row r="112" spans="1:9" s="176" customFormat="1" ht="11.25" customHeight="1" x14ac:dyDescent="0.2">
      <c r="A112" s="294"/>
      <c r="B112" s="2228"/>
      <c r="C112" s="2229"/>
      <c r="D112" s="2229"/>
      <c r="E112" s="2229"/>
      <c r="F112" s="2229"/>
      <c r="G112" s="2229"/>
      <c r="H112" s="2229"/>
      <c r="I112" s="223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1" t="s">
        <v>2052</v>
      </c>
      <c r="D114" s="223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2" t="s">
        <v>1319</v>
      </c>
      <c r="D117" s="2233"/>
      <c r="E117" s="2234"/>
      <c r="F117" s="2234"/>
      <c r="G117" s="2234"/>
      <c r="H117" s="2234"/>
      <c r="I117" s="282"/>
    </row>
    <row r="118" spans="1:9" s="176" customFormat="1" ht="24" customHeight="1" x14ac:dyDescent="0.2">
      <c r="A118" s="294"/>
      <c r="B118" s="294"/>
      <c r="C118" s="294"/>
      <c r="D118" s="301" t="s">
        <v>2134</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6" t="s">
        <v>383</v>
      </c>
      <c r="B1" s="2256"/>
      <c r="C1" s="2256"/>
      <c r="D1" s="2256"/>
      <c r="E1" s="2256"/>
      <c r="F1" s="2256"/>
      <c r="G1" s="2256"/>
      <c r="H1" s="2256"/>
      <c r="I1" s="2256"/>
      <c r="J1" s="2256"/>
      <c r="K1" s="2256"/>
      <c r="L1" s="2256"/>
      <c r="M1" s="225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228447469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1.37E-2</v>
      </c>
      <c r="E10" s="333" t="s">
        <v>998</v>
      </c>
      <c r="F10" s="332">
        <v>2.5000000000000001E-3</v>
      </c>
      <c r="G10" s="333" t="s">
        <v>998</v>
      </c>
      <c r="H10" s="332">
        <v>1.1999999999999999E-3</v>
      </c>
      <c r="I10" s="333" t="s">
        <v>999</v>
      </c>
      <c r="J10" s="1424">
        <f>ROUND(D10+F10+H10,5)</f>
        <v>1.7399999999999999E-2</v>
      </c>
      <c r="K10" s="217"/>
      <c r="L10" s="332">
        <v>5.0000000000000001E-4</v>
      </c>
      <c r="M10" s="217"/>
    </row>
    <row r="11" spans="1:14" ht="7.5" customHeight="1" x14ac:dyDescent="0.2">
      <c r="B11" s="217"/>
      <c r="C11" s="217"/>
      <c r="D11" s="2266" t="str">
        <f>IF(SUM(J10)&lt;=0.0999999,"","Enter the Tax Rates by moving the decimal two places to the left.")</f>
        <v/>
      </c>
      <c r="E11" s="2267"/>
      <c r="F11" s="2267"/>
      <c r="G11" s="2267"/>
      <c r="H11" s="2267"/>
      <c r="I11" s="2267"/>
      <c r="J11" s="226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8392674</v>
      </c>
      <c r="E16" s="1547"/>
      <c r="F16" s="1546">
        <f>SUM('Acct Summary 7-8'!C17,'Acct Summary 7-8'!D17,'Acct Summary 7-8'!F17)</f>
        <v>7700610</v>
      </c>
      <c r="G16" s="1547"/>
      <c r="H16" s="1546">
        <f>SUM(D16-F16)</f>
        <v>692064</v>
      </c>
      <c r="I16" s="1548"/>
      <c r="J16" s="1546">
        <f>SUM('Acct Summary 7-8'!C81,'Acct Summary 7-8'!D81,'Acct Summary 7-8'!F81,'Acct Summary 7-8'!I81)</f>
        <v>7207999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15762875.361000001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2140000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7"/>
      <c r="C54" s="2258"/>
      <c r="D54" s="2258"/>
      <c r="E54" s="2258"/>
      <c r="F54" s="2258"/>
      <c r="G54" s="2258"/>
      <c r="H54" s="2258"/>
      <c r="I54" s="2258"/>
      <c r="J54" s="2258"/>
      <c r="K54" s="2258"/>
      <c r="L54" s="2259"/>
      <c r="M54" s="357"/>
    </row>
    <row r="55" spans="1:13" ht="12.75" customHeight="1" x14ac:dyDescent="0.2">
      <c r="B55" s="2260"/>
      <c r="C55" s="2261"/>
      <c r="D55" s="2261"/>
      <c r="E55" s="2261"/>
      <c r="F55" s="2261"/>
      <c r="G55" s="2261"/>
      <c r="H55" s="2261"/>
      <c r="I55" s="2261"/>
      <c r="J55" s="2261"/>
      <c r="K55" s="2261"/>
      <c r="L55" s="2262"/>
      <c r="M55" s="357"/>
    </row>
    <row r="56" spans="1:13" ht="12.75" customHeight="1" x14ac:dyDescent="0.2">
      <c r="B56" s="2260"/>
      <c r="C56" s="2261"/>
      <c r="D56" s="2261"/>
      <c r="E56" s="2261"/>
      <c r="F56" s="2261"/>
      <c r="G56" s="2261"/>
      <c r="H56" s="2261"/>
      <c r="I56" s="2261"/>
      <c r="J56" s="2261"/>
      <c r="K56" s="2261"/>
      <c r="L56" s="2262"/>
      <c r="M56" s="217"/>
    </row>
    <row r="57" spans="1:13" ht="12.75" customHeight="1" x14ac:dyDescent="0.2">
      <c r="B57" s="2260"/>
      <c r="C57" s="2261"/>
      <c r="D57" s="2261"/>
      <c r="E57" s="2261"/>
      <c r="F57" s="2261"/>
      <c r="G57" s="2261"/>
      <c r="H57" s="2261"/>
      <c r="I57" s="2261"/>
      <c r="J57" s="2261"/>
      <c r="K57" s="2261"/>
      <c r="L57" s="2262"/>
      <c r="M57" s="217"/>
    </row>
    <row r="58" spans="1:13" x14ac:dyDescent="0.2">
      <c r="B58" s="2263"/>
      <c r="C58" s="2264"/>
      <c r="D58" s="2264"/>
      <c r="E58" s="2264"/>
      <c r="F58" s="2264"/>
      <c r="G58" s="2264"/>
      <c r="H58" s="2264"/>
      <c r="I58" s="2264"/>
      <c r="J58" s="2264"/>
      <c r="K58" s="2264"/>
      <c r="L58" s="226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8"/>
      <c r="D61" s="226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1"/>
      <c r="B1" s="2272"/>
      <c r="C1" s="2272"/>
      <c r="D1" s="361"/>
      <c r="E1" s="361"/>
      <c r="F1" s="361"/>
      <c r="G1" s="361"/>
      <c r="H1" s="361"/>
      <c r="I1" s="361"/>
      <c r="J1" s="361"/>
      <c r="K1" s="361"/>
      <c r="L1" s="361"/>
      <c r="M1" s="361"/>
      <c r="N1" s="361"/>
      <c r="O1" s="2271"/>
      <c r="P1" s="2272"/>
      <c r="Q1" s="2272"/>
    </row>
    <row r="2" spans="1:18" ht="15" x14ac:dyDescent="0.2">
      <c r="A2" s="2275" t="s">
        <v>552</v>
      </c>
      <c r="B2" s="2275"/>
      <c r="C2" s="2275"/>
      <c r="D2" s="2275"/>
      <c r="E2" s="2275"/>
      <c r="F2" s="2275"/>
      <c r="G2" s="2275"/>
      <c r="H2" s="2275"/>
      <c r="I2" s="2275"/>
      <c r="J2" s="2275"/>
      <c r="K2" s="2275"/>
      <c r="L2" s="2275"/>
      <c r="M2" s="2275"/>
      <c r="N2" s="2275"/>
      <c r="O2" s="2275"/>
      <c r="P2" s="2275"/>
      <c r="Q2" s="2275"/>
      <c r="R2" s="2275"/>
    </row>
    <row r="3" spans="1:18" ht="12.75" x14ac:dyDescent="0.2">
      <c r="A3" s="2276" t="s">
        <v>1396</v>
      </c>
      <c r="B3" s="2276"/>
      <c r="C3" s="2276"/>
      <c r="D3" s="2276"/>
      <c r="E3" s="2276"/>
      <c r="F3" s="2276"/>
      <c r="G3" s="2276"/>
      <c r="H3" s="2276"/>
      <c r="I3" s="2276"/>
      <c r="J3" s="2276"/>
      <c r="K3" s="2276"/>
      <c r="L3" s="2276"/>
      <c r="M3" s="2276"/>
      <c r="N3" s="2276"/>
      <c r="O3" s="2276"/>
      <c r="P3" s="2276"/>
      <c r="Q3" s="2276"/>
      <c r="R3" s="2276"/>
    </row>
    <row r="4" spans="1:18" x14ac:dyDescent="0.2">
      <c r="A4" s="2277" t="s">
        <v>1537</v>
      </c>
      <c r="B4" s="2277"/>
      <c r="C4" s="2277"/>
      <c r="D4" s="2277"/>
      <c r="E4" s="2277"/>
      <c r="F4" s="2277"/>
      <c r="G4" s="2277"/>
      <c r="H4" s="2277"/>
      <c r="I4" s="2277"/>
      <c r="J4" s="2277"/>
      <c r="K4" s="2277"/>
      <c r="L4" s="2277"/>
      <c r="M4" s="2277"/>
      <c r="N4" s="2277"/>
      <c r="O4" s="2277"/>
      <c r="P4" s="2277"/>
      <c r="Q4" s="2277"/>
      <c r="R4" s="227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Mendota Twp HSD 280</v>
      </c>
      <c r="E7" s="368"/>
      <c r="G7" s="247"/>
      <c r="H7" s="364"/>
      <c r="I7" s="364"/>
      <c r="J7" s="364"/>
      <c r="K7" s="364"/>
      <c r="L7" s="307"/>
      <c r="M7" s="307"/>
      <c r="N7" s="307"/>
      <c r="O7" s="307"/>
      <c r="P7" s="307"/>
    </row>
    <row r="8" spans="1:18" ht="12.75" x14ac:dyDescent="0.2">
      <c r="A8" s="307"/>
      <c r="B8" s="307"/>
      <c r="C8" s="366" t="s">
        <v>1115</v>
      </c>
      <c r="D8" s="369">
        <f>COVER!A13</f>
        <v>35050280017</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7207999</v>
      </c>
      <c r="I12" s="380"/>
      <c r="J12" s="380"/>
      <c r="K12" s="1559">
        <f>TRUNC((H12/H13*100000),5)/100000</f>
        <v>0.95281528000000004</v>
      </c>
      <c r="L12" s="381"/>
      <c r="M12" s="337" t="s">
        <v>1134</v>
      </c>
      <c r="N12" s="337"/>
      <c r="O12" s="1562">
        <v>0.35</v>
      </c>
      <c r="P12" s="213"/>
      <c r="Q12" s="213"/>
    </row>
    <row r="13" spans="1:18" s="382" customFormat="1" ht="12.75" x14ac:dyDescent="0.2">
      <c r="A13" s="213"/>
      <c r="B13" s="377"/>
      <c r="C13" s="2273" t="s">
        <v>1313</v>
      </c>
      <c r="D13" s="2274"/>
      <c r="E13" s="213"/>
      <c r="F13" s="383" t="s">
        <v>788</v>
      </c>
      <c r="G13" s="378"/>
      <c r="H13" s="1551">
        <f>SUM('Acct Summary 7-8'!C8+'Acct Summary 7-8'!D8+'Acct Summary 7-8'!F8+'Acct Summary 7-8'!I8)+H14</f>
        <v>7564949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-827725</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7700610</v>
      </c>
      <c r="I17" s="380"/>
      <c r="J17" s="389"/>
      <c r="K17" s="1559">
        <f>TRUNC((H17/H18*100000),5)/100000</f>
        <v>1.0179328373000001</v>
      </c>
      <c r="L17" s="381"/>
      <c r="M17" s="390" t="s">
        <v>1161</v>
      </c>
      <c r="O17" s="1565" t="str">
        <f>IF(AND(O16="2", J20 &gt; 2),"1",IF(AND(O16 = "1", J20 &gt; 2),"2",IF(AND(O16="1", J20 &gt;1),"1","0")))</f>
        <v>0</v>
      </c>
      <c r="P17" s="213"/>
    </row>
    <row r="18" spans="1:18" s="382" customFormat="1" ht="11.25" x14ac:dyDescent="0.2">
      <c r="A18" s="213"/>
      <c r="B18" s="377"/>
      <c r="C18" s="2273" t="s">
        <v>1306</v>
      </c>
      <c r="D18" s="2274"/>
      <c r="E18" s="213"/>
      <c r="F18" s="391" t="s">
        <v>789</v>
      </c>
      <c r="G18" s="378"/>
      <c r="H18" s="1551">
        <f>SUM('Acct Summary 7-8'!C8+'Acct Summary 7-8'!D8+'Acct Summary 7-8'!F8+'Acct Summary 7-8'!I8)+H19</f>
        <v>7564949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-827725</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47.556070699999999</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70" t="s">
        <v>1395</v>
      </c>
      <c r="D24" s="2270"/>
      <c r="E24" s="213"/>
      <c r="F24" s="213" t="s">
        <v>442</v>
      </c>
      <c r="G24" s="378"/>
      <c r="H24" s="1551">
        <f>SUM('Assets-Liab 5-6'!C4+'Assets-Liab 5-6'!D4+'Assets-Liab 5-6'!F4+'Assets-Liab 5-6'!I4+'Assets-Liab 5-6'!C5+'Assets-Liab 5-6'!D5+'Assets-Liab 5-6'!F5+'Assets-Liab 5-6'!I5)</f>
        <v>7229613</v>
      </c>
      <c r="I24" s="394"/>
      <c r="J24" s="394"/>
      <c r="K24" s="1555">
        <f>TRUNC(((H24/H25*100000)/100000),2)</f>
        <v>337.98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21390.583330000001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3378738.0665099998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2140000</v>
      </c>
      <c r="I32" s="392"/>
      <c r="J32" s="392"/>
      <c r="K32" s="1555">
        <f>TRUNC(100-((((H32/H33*100))*100)/100),2)</f>
        <v>86.42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15762875.361000001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I15" sqref="I1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7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0" t="s">
        <v>967</v>
      </c>
      <c r="B3" s="2281"/>
      <c r="C3" s="1306"/>
      <c r="D3" s="1307"/>
      <c r="E3" s="1307"/>
      <c r="F3" s="1307"/>
      <c r="G3" s="1307"/>
      <c r="H3" s="1307"/>
      <c r="I3" s="1307"/>
      <c r="J3" s="1307"/>
      <c r="K3" s="1307"/>
      <c r="L3" s="1307"/>
      <c r="M3" s="1308"/>
      <c r="N3" s="1309"/>
    </row>
    <row r="4" spans="1:14" ht="13.5" customHeight="1" x14ac:dyDescent="0.2">
      <c r="A4" s="427" t="s">
        <v>1632</v>
      </c>
      <c r="B4" s="428"/>
      <c r="C4" s="1572">
        <v>490234</v>
      </c>
      <c r="D4" s="1573">
        <v>984227</v>
      </c>
      <c r="E4" s="1573">
        <v>114780</v>
      </c>
      <c r="F4" s="1573">
        <v>345849</v>
      </c>
      <c r="G4" s="1573">
        <v>192594</v>
      </c>
      <c r="H4" s="1573">
        <v>1087355</v>
      </c>
      <c r="I4" s="1573">
        <v>1444597</v>
      </c>
      <c r="J4" s="1574">
        <v>131957</v>
      </c>
      <c r="K4" s="1573">
        <v>127538</v>
      </c>
      <c r="L4" s="1573">
        <v>269658</v>
      </c>
      <c r="M4" s="1575"/>
      <c r="N4" s="1576"/>
    </row>
    <row r="5" spans="1:14" x14ac:dyDescent="0.2">
      <c r="A5" s="427" t="s">
        <v>985</v>
      </c>
      <c r="B5" s="429">
        <v>120</v>
      </c>
      <c r="C5" s="1572">
        <v>2289629</v>
      </c>
      <c r="D5" s="1573">
        <v>3187</v>
      </c>
      <c r="E5" s="1573">
        <v>0</v>
      </c>
      <c r="F5" s="1573">
        <v>164246</v>
      </c>
      <c r="G5" s="1573">
        <v>309621</v>
      </c>
      <c r="H5" s="1573">
        <v>0</v>
      </c>
      <c r="I5" s="1573">
        <v>1507644</v>
      </c>
      <c r="J5" s="1574">
        <v>218576</v>
      </c>
      <c r="K5" s="1577">
        <v>152686</v>
      </c>
      <c r="L5" s="1578">
        <v>697615</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2779863</v>
      </c>
      <c r="D13" s="1587">
        <f t="shared" ref="D13:L13" si="0">SUM(D4:D12)</f>
        <v>987414</v>
      </c>
      <c r="E13" s="1587">
        <f t="shared" si="0"/>
        <v>114780</v>
      </c>
      <c r="F13" s="1587">
        <f t="shared" si="0"/>
        <v>510095</v>
      </c>
      <c r="G13" s="1587">
        <f t="shared" si="0"/>
        <v>502215</v>
      </c>
      <c r="H13" s="1587">
        <f t="shared" si="0"/>
        <v>1087355</v>
      </c>
      <c r="I13" s="1587">
        <f t="shared" si="0"/>
        <v>2952241</v>
      </c>
      <c r="J13" s="1587">
        <f t="shared" si="0"/>
        <v>350533</v>
      </c>
      <c r="K13" s="1587">
        <f t="shared" si="0"/>
        <v>280224</v>
      </c>
      <c r="L13" s="1587">
        <f t="shared" si="0"/>
        <v>967273</v>
      </c>
      <c r="M13" s="1575"/>
      <c r="N13" s="1576"/>
    </row>
    <row r="14" spans="1:14" ht="18" customHeight="1" thickTop="1" x14ac:dyDescent="0.2">
      <c r="A14" s="2282" t="s">
        <v>146</v>
      </c>
      <c r="B14" s="228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767552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23912679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5812568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2541393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114780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2025220</v>
      </c>
    </row>
    <row r="23" spans="1:14" ht="13.5" customHeight="1" thickBot="1" x14ac:dyDescent="0.25">
      <c r="A23" s="1426" t="s">
        <v>638</v>
      </c>
      <c r="B23" s="1429"/>
      <c r="C23" s="1575"/>
      <c r="D23" s="1575"/>
      <c r="E23" s="1575"/>
      <c r="F23" s="1575"/>
      <c r="G23" s="1575"/>
      <c r="H23" s="1575"/>
      <c r="I23" s="1575"/>
      <c r="J23" s="1575"/>
      <c r="K23" s="1575"/>
      <c r="L23" s="1575"/>
      <c r="M23" s="1594">
        <f>SUM(M15:M22)</f>
        <v>33034192</v>
      </c>
      <c r="N23" s="1594">
        <f>SUM(N21:N22)</f>
        <v>2140000</v>
      </c>
    </row>
    <row r="24" spans="1:14" ht="18" customHeight="1" thickTop="1" x14ac:dyDescent="0.2">
      <c r="A24" s="2284" t="s">
        <v>594</v>
      </c>
      <c r="B24" s="228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4900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14476</v>
      </c>
      <c r="D31" s="1574">
        <v>1513</v>
      </c>
      <c r="E31" s="1574"/>
      <c r="F31" s="1573">
        <v>725</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602339</v>
      </c>
      <c r="M33" s="1575"/>
      <c r="N33" s="1576"/>
    </row>
    <row r="34" spans="1:14" ht="13.5" customHeight="1" thickBot="1" x14ac:dyDescent="0.25">
      <c r="A34" s="1427" t="s">
        <v>649</v>
      </c>
      <c r="B34" s="1428"/>
      <c r="C34" s="1600">
        <f>SUM(C25:C33)</f>
        <v>19376</v>
      </c>
      <c r="D34" s="1600">
        <f t="shared" ref="D34:K34" si="1">SUM(D25:D33)</f>
        <v>1513</v>
      </c>
      <c r="E34" s="1600">
        <f t="shared" si="1"/>
        <v>0</v>
      </c>
      <c r="F34" s="1600">
        <f t="shared" si="1"/>
        <v>725</v>
      </c>
      <c r="G34" s="1600">
        <f t="shared" si="1"/>
        <v>0</v>
      </c>
      <c r="H34" s="1600">
        <f t="shared" si="1"/>
        <v>0</v>
      </c>
      <c r="I34" s="1600">
        <f t="shared" si="1"/>
        <v>0</v>
      </c>
      <c r="J34" s="1600">
        <f t="shared" si="1"/>
        <v>0</v>
      </c>
      <c r="K34" s="1600">
        <f t="shared" si="1"/>
        <v>0</v>
      </c>
      <c r="L34" s="1601">
        <f>SUM(L33)</f>
        <v>602339</v>
      </c>
      <c r="M34" s="1575"/>
      <c r="N34" s="1585"/>
    </row>
    <row r="35" spans="1:14" ht="18" customHeight="1" thickTop="1" x14ac:dyDescent="0.2">
      <c r="A35" s="2286" t="s">
        <v>526</v>
      </c>
      <c r="B35" s="228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2140000</v>
      </c>
    </row>
    <row r="37" spans="1:14" ht="13.5" thickBot="1" x14ac:dyDescent="0.25">
      <c r="A37" s="1426" t="s">
        <v>648</v>
      </c>
      <c r="B37" s="1429"/>
      <c r="C37" s="1582"/>
      <c r="D37" s="1582"/>
      <c r="E37" s="1582"/>
      <c r="F37" s="1582"/>
      <c r="G37" s="1582"/>
      <c r="H37" s="1582"/>
      <c r="I37" s="1582"/>
      <c r="J37" s="1582"/>
      <c r="K37" s="1582"/>
      <c r="L37" s="1585"/>
      <c r="M37" s="1575"/>
      <c r="N37" s="1594">
        <f>SUM(N36:N36)</f>
        <v>2140000</v>
      </c>
    </row>
    <row r="38" spans="1:14" s="307" customFormat="1" ht="13.5" customHeight="1" thickTop="1" x14ac:dyDescent="0.2">
      <c r="A38" s="438" t="s">
        <v>417</v>
      </c>
      <c r="B38" s="432">
        <v>714</v>
      </c>
      <c r="C38" s="1573">
        <v>133949</v>
      </c>
      <c r="D38" s="1573">
        <v>146338</v>
      </c>
      <c r="E38" s="1573">
        <v>0</v>
      </c>
      <c r="F38" s="1573">
        <v>0</v>
      </c>
      <c r="G38" s="1573">
        <v>158189</v>
      </c>
      <c r="H38" s="1573">
        <v>150319</v>
      </c>
      <c r="I38" s="1573">
        <v>0</v>
      </c>
      <c r="J38" s="1574">
        <v>0</v>
      </c>
      <c r="K38" s="1573">
        <v>0</v>
      </c>
      <c r="L38" s="1586">
        <v>364934</v>
      </c>
      <c r="M38" s="1604"/>
      <c r="N38" s="1604"/>
    </row>
    <row r="39" spans="1:14" s="307" customFormat="1" ht="13.5" customHeight="1" x14ac:dyDescent="0.2">
      <c r="A39" s="438" t="s">
        <v>339</v>
      </c>
      <c r="B39" s="432">
        <v>730</v>
      </c>
      <c r="C39" s="1573">
        <v>2626538</v>
      </c>
      <c r="D39" s="1573">
        <v>839563</v>
      </c>
      <c r="E39" s="1573">
        <v>114780</v>
      </c>
      <c r="F39" s="1573">
        <v>509370</v>
      </c>
      <c r="G39" s="1573">
        <v>344026</v>
      </c>
      <c r="H39" s="1573">
        <v>937036</v>
      </c>
      <c r="I39" s="1573">
        <v>2952241</v>
      </c>
      <c r="J39" s="1574">
        <v>350533</v>
      </c>
      <c r="K39" s="1573">
        <v>280224</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33034192</v>
      </c>
      <c r="N40" s="1604"/>
    </row>
    <row r="41" spans="1:14" ht="13.5" customHeight="1" thickBot="1" x14ac:dyDescent="0.25">
      <c r="A41" s="1426" t="s">
        <v>650</v>
      </c>
      <c r="B41" s="1405"/>
      <c r="C41" s="1594">
        <f>(SUM(C34,C37,C38,C39))</f>
        <v>2779863</v>
      </c>
      <c r="D41" s="1594">
        <f t="shared" ref="D41:L41" si="2">SUM(D34,D37,D38:D39)</f>
        <v>987414</v>
      </c>
      <c r="E41" s="1594">
        <f t="shared" si="2"/>
        <v>114780</v>
      </c>
      <c r="F41" s="1594">
        <f t="shared" si="2"/>
        <v>510095</v>
      </c>
      <c r="G41" s="1594">
        <f t="shared" si="2"/>
        <v>502215</v>
      </c>
      <c r="H41" s="1594">
        <f t="shared" si="2"/>
        <v>1087355</v>
      </c>
      <c r="I41" s="1594">
        <f t="shared" si="2"/>
        <v>2952241</v>
      </c>
      <c r="J41" s="1594">
        <f t="shared" si="2"/>
        <v>350533</v>
      </c>
      <c r="K41" s="1594">
        <f t="shared" si="2"/>
        <v>280224</v>
      </c>
      <c r="L41" s="1594">
        <f t="shared" si="2"/>
        <v>967273</v>
      </c>
      <c r="M41" s="1594">
        <f>SUM(M40)</f>
        <v>33034192</v>
      </c>
      <c r="N41" s="1594">
        <f>SUM(N37)</f>
        <v>2140000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15" sqref="I1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08" t="s">
        <v>1165</v>
      </c>
      <c r="B3" s="2309"/>
      <c r="C3" s="1311"/>
      <c r="D3" s="1312"/>
      <c r="E3" s="1312"/>
      <c r="F3" s="1312"/>
      <c r="G3" s="1312"/>
      <c r="H3" s="1312"/>
      <c r="I3" s="1312"/>
      <c r="J3" s="1312"/>
      <c r="K3" s="1313"/>
      <c r="L3" s="446"/>
    </row>
    <row r="4" spans="1:13" ht="15.75" customHeight="1" x14ac:dyDescent="0.2">
      <c r="A4" s="1537" t="s">
        <v>1482</v>
      </c>
      <c r="B4" s="1538">
        <v>1000</v>
      </c>
      <c r="C4" s="1606">
        <f>'Revenues 9-14'!C109</f>
        <v>4012215</v>
      </c>
      <c r="D4" s="1606">
        <f>'Revenues 9-14'!D109</f>
        <v>948968</v>
      </c>
      <c r="E4" s="1606">
        <f>'Revenues 9-14'!E109</f>
        <v>769954</v>
      </c>
      <c r="F4" s="1606">
        <f>'Revenues 9-14'!F109</f>
        <v>691431</v>
      </c>
      <c r="G4" s="1606">
        <f>'Revenues 9-14'!G109</f>
        <v>286388</v>
      </c>
      <c r="H4" s="1606">
        <f>'Revenues 9-14'!H109</f>
        <v>24984</v>
      </c>
      <c r="I4" s="1606">
        <f>'Revenues 9-14'!I109</f>
        <v>171782</v>
      </c>
      <c r="J4" s="1606">
        <f>'Revenues 9-14'!J109</f>
        <v>313847</v>
      </c>
      <c r="K4" s="1606">
        <f>'Revenues 9-14'!K109</f>
        <v>28381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1853306</v>
      </c>
      <c r="D6" s="1607">
        <f>'Revenues 9-14'!D170</f>
        <v>0</v>
      </c>
      <c r="E6" s="1607">
        <f>'Revenues 9-14'!E170</f>
        <v>0</v>
      </c>
      <c r="F6" s="1607">
        <f>'Revenues 9-14'!F170</f>
        <v>218324</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496648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6362169</v>
      </c>
      <c r="D8" s="1594">
        <f t="shared" ref="D8:K8" si="0">SUM(D4:D7)</f>
        <v>948968</v>
      </c>
      <c r="E8" s="1594">
        <f t="shared" si="0"/>
        <v>769954</v>
      </c>
      <c r="F8" s="1594">
        <f t="shared" si="0"/>
        <v>909755</v>
      </c>
      <c r="G8" s="1594">
        <f t="shared" si="0"/>
        <v>286388</v>
      </c>
      <c r="H8" s="1594">
        <f t="shared" si="0"/>
        <v>74984</v>
      </c>
      <c r="I8" s="1594">
        <f t="shared" si="0"/>
        <v>171782</v>
      </c>
      <c r="J8" s="1594">
        <f t="shared" si="0"/>
        <v>313847</v>
      </c>
      <c r="K8" s="1594">
        <f t="shared" si="0"/>
        <v>28381</v>
      </c>
      <c r="L8" s="325"/>
    </row>
    <row r="9" spans="1:13" ht="15.75" thickTop="1" x14ac:dyDescent="0.2">
      <c r="A9" s="449" t="s">
        <v>1634</v>
      </c>
      <c r="B9" s="450">
        <v>3998</v>
      </c>
      <c r="C9" s="1586">
        <v>3144313</v>
      </c>
      <c r="D9" s="1613"/>
      <c r="E9" s="1586"/>
      <c r="F9" s="1586"/>
      <c r="G9" s="1614"/>
      <c r="H9" s="1586"/>
      <c r="I9" s="1609" t="s">
        <v>1159</v>
      </c>
      <c r="J9" s="1583"/>
      <c r="K9" s="1586"/>
      <c r="L9" s="325"/>
    </row>
    <row r="10" spans="1:13" s="452" customFormat="1" ht="13.5" thickBot="1" x14ac:dyDescent="0.25">
      <c r="A10" s="1426" t="s">
        <v>1163</v>
      </c>
      <c r="B10" s="1407"/>
      <c r="C10" s="1594">
        <f>SUM(C8:C9)</f>
        <v>9506482</v>
      </c>
      <c r="D10" s="1594">
        <f t="shared" ref="D10:K10" si="1">SUM(D8:D9)</f>
        <v>948968</v>
      </c>
      <c r="E10" s="1594">
        <f t="shared" si="1"/>
        <v>769954</v>
      </c>
      <c r="F10" s="1594">
        <f t="shared" si="1"/>
        <v>909755</v>
      </c>
      <c r="G10" s="1594">
        <f t="shared" si="1"/>
        <v>286388</v>
      </c>
      <c r="H10" s="1594">
        <f t="shared" si="1"/>
        <v>74984</v>
      </c>
      <c r="I10" s="1594">
        <f t="shared" si="1"/>
        <v>171782</v>
      </c>
      <c r="J10" s="1594">
        <f t="shared" si="1"/>
        <v>313847</v>
      </c>
      <c r="K10" s="1594">
        <f t="shared" si="1"/>
        <v>28381</v>
      </c>
      <c r="L10" s="451"/>
    </row>
    <row r="11" spans="1:13" s="452" customFormat="1" ht="16.7" customHeight="1" thickTop="1" x14ac:dyDescent="0.2">
      <c r="A11" s="2282" t="s">
        <v>1166</v>
      </c>
      <c r="B11" s="2283"/>
      <c r="C11" s="1602"/>
      <c r="D11" s="1603"/>
      <c r="E11" s="1603"/>
      <c r="F11" s="1603"/>
      <c r="G11" s="1603"/>
      <c r="H11" s="1603"/>
      <c r="I11" s="1603"/>
      <c r="J11" s="1603"/>
      <c r="K11" s="1615"/>
      <c r="L11" s="451"/>
    </row>
    <row r="12" spans="1:13" ht="15.75" customHeight="1" x14ac:dyDescent="0.2">
      <c r="A12" s="1314" t="s">
        <v>453</v>
      </c>
      <c r="B12" s="1316">
        <v>1000</v>
      </c>
      <c r="C12" s="1606">
        <f>'Expenditures 15-22'!K33</f>
        <v>4265196</v>
      </c>
      <c r="D12" s="1616" t="s">
        <v>1159</v>
      </c>
      <c r="E12" s="1575" t="s">
        <v>1159</v>
      </c>
      <c r="F12" s="1575" t="s">
        <v>1159</v>
      </c>
      <c r="G12" s="1606">
        <f>'Expenditures 15-22'!K229</f>
        <v>76791</v>
      </c>
      <c r="H12" s="1617"/>
      <c r="I12" s="1575" t="s">
        <v>1159</v>
      </c>
      <c r="J12" s="1575" t="s">
        <v>1159</v>
      </c>
      <c r="K12" s="1617" t="s">
        <v>1159</v>
      </c>
      <c r="L12" s="325"/>
    </row>
    <row r="13" spans="1:13" ht="15.75" customHeight="1" x14ac:dyDescent="0.2">
      <c r="A13" s="1314" t="s">
        <v>454</v>
      </c>
      <c r="B13" s="1316">
        <v>2000</v>
      </c>
      <c r="C13" s="1607">
        <f>'Expenditures 15-22'!K74</f>
        <v>1655806</v>
      </c>
      <c r="D13" s="1607">
        <f>'Expenditures 15-22'!K129</f>
        <v>683552</v>
      </c>
      <c r="E13" s="1576" t="s">
        <v>1159</v>
      </c>
      <c r="F13" s="1607">
        <f>'Expenditures 15-22'!K184</f>
        <v>932506</v>
      </c>
      <c r="G13" s="1607">
        <f>'Expenditures 15-22'!K279</f>
        <v>203763</v>
      </c>
      <c r="H13" s="1607">
        <f>'Expenditures 15-22'!K303</f>
        <v>713484</v>
      </c>
      <c r="I13" s="1575" t="s">
        <v>1159</v>
      </c>
      <c r="J13" s="1607">
        <f>'Expenditures 15-22'!K330</f>
        <v>235679</v>
      </c>
      <c r="K13" s="1618">
        <f>'Expenditures 15-22'!K352</f>
        <v>0</v>
      </c>
      <c r="L13" s="325"/>
    </row>
    <row r="14" spans="1:13" ht="15.75" customHeight="1" x14ac:dyDescent="0.2">
      <c r="A14" s="1314" t="s">
        <v>446</v>
      </c>
      <c r="B14" s="1316">
        <v>3000</v>
      </c>
      <c r="C14" s="1607">
        <f>'Expenditures 15-22'!K75</f>
        <v>5808</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157742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1018490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6084552</v>
      </c>
      <c r="D17" s="1594">
        <f t="shared" si="2"/>
        <v>683552</v>
      </c>
      <c r="E17" s="1594">
        <f t="shared" si="2"/>
        <v>1018490</v>
      </c>
      <c r="F17" s="1594">
        <f t="shared" si="2"/>
        <v>932506</v>
      </c>
      <c r="G17" s="1594">
        <f t="shared" si="2"/>
        <v>280554</v>
      </c>
      <c r="H17" s="1594">
        <f t="shared" si="2"/>
        <v>713484</v>
      </c>
      <c r="I17" s="1575"/>
      <c r="J17" s="1594">
        <f>SUM(J12:J16)</f>
        <v>235679</v>
      </c>
      <c r="K17" s="1594">
        <f>SUM(K12:K16)</f>
        <v>0</v>
      </c>
      <c r="L17" s="325"/>
    </row>
    <row r="18" spans="1:12" ht="15" customHeight="1" thickTop="1" x14ac:dyDescent="0.2">
      <c r="A18" s="1430" t="s">
        <v>1635</v>
      </c>
      <c r="B18" s="1431">
        <v>4180</v>
      </c>
      <c r="C18" s="1606">
        <f t="shared" ref="C18:H18" si="3">C9</f>
        <v>3144313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9228865</v>
      </c>
      <c r="D19" s="1594">
        <f t="shared" si="4"/>
        <v>683552</v>
      </c>
      <c r="E19" s="1594">
        <f t="shared" si="4"/>
        <v>1018490</v>
      </c>
      <c r="F19" s="1594">
        <f t="shared" si="4"/>
        <v>932506</v>
      </c>
      <c r="G19" s="1594">
        <f t="shared" si="4"/>
        <v>280554</v>
      </c>
      <c r="H19" s="1594">
        <f t="shared" si="4"/>
        <v>713484</v>
      </c>
      <c r="I19" s="1575"/>
      <c r="J19" s="1594">
        <f>SUM(J17:J18)</f>
        <v>235679</v>
      </c>
      <c r="K19" s="1594">
        <f>SUM(K17:K18)</f>
        <v>0</v>
      </c>
      <c r="L19" s="325"/>
    </row>
    <row r="20" spans="1:12" ht="16.5" thickTop="1" thickBot="1" x14ac:dyDescent="0.25">
      <c r="A20" s="2298" t="s">
        <v>1636</v>
      </c>
      <c r="B20" s="2299"/>
      <c r="C20" s="1622">
        <f>C8-C17</f>
        <v>277617</v>
      </c>
      <c r="D20" s="1622">
        <f t="shared" ref="D20:K20" si="5">D8-D17</f>
        <v>265416</v>
      </c>
      <c r="E20" s="1622">
        <f t="shared" si="5"/>
        <v>-248536</v>
      </c>
      <c r="F20" s="1622">
        <f t="shared" si="5"/>
        <v>-22751</v>
      </c>
      <c r="G20" s="1622">
        <f t="shared" si="5"/>
        <v>5834</v>
      </c>
      <c r="H20" s="1622">
        <f t="shared" si="5"/>
        <v>-638500</v>
      </c>
      <c r="I20" s="1622">
        <f t="shared" si="5"/>
        <v>171782</v>
      </c>
      <c r="J20" s="1622">
        <f t="shared" si="5"/>
        <v>78168</v>
      </c>
      <c r="K20" s="1622">
        <f t="shared" si="5"/>
        <v>28381</v>
      </c>
      <c r="L20" s="325"/>
    </row>
    <row r="21" spans="1:12" ht="16.7" customHeight="1" thickTop="1" x14ac:dyDescent="0.2">
      <c r="A21" s="2310" t="s">
        <v>591</v>
      </c>
      <c r="B21" s="2311"/>
      <c r="C21" s="1602"/>
      <c r="D21" s="1603"/>
      <c r="E21" s="1603"/>
      <c r="F21" s="1603"/>
      <c r="G21" s="1603"/>
      <c r="H21" s="1603"/>
      <c r="I21" s="1603"/>
      <c r="J21" s="1603"/>
      <c r="K21" s="1615"/>
      <c r="L21" s="453"/>
    </row>
    <row r="22" spans="1:12" ht="15.75" customHeight="1" collapsed="1" x14ac:dyDescent="0.2">
      <c r="A22" s="2306" t="s">
        <v>592</v>
      </c>
      <c r="B22" s="2307"/>
      <c r="C22" s="1582"/>
      <c r="D22" s="1582"/>
      <c r="E22" s="1582"/>
      <c r="F22" s="1582"/>
      <c r="G22" s="1582"/>
      <c r="H22" s="1582"/>
      <c r="I22" s="1582"/>
      <c r="J22" s="1582"/>
      <c r="K22" s="1582"/>
      <c r="L22" s="325"/>
    </row>
    <row r="23" spans="1:12" s="433" customFormat="1" ht="15.75" customHeight="1" x14ac:dyDescent="0.2">
      <c r="A23" s="2302" t="s">
        <v>290</v>
      </c>
      <c r="B23" s="2303"/>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0</v>
      </c>
      <c r="D25" s="1574">
        <v>725000</v>
      </c>
      <c r="E25" s="1574">
        <v>0</v>
      </c>
      <c r="F25" s="1574">
        <v>20000</v>
      </c>
      <c r="G25" s="1574">
        <v>0</v>
      </c>
      <c r="H25" s="1574">
        <v>930000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04" t="s">
        <v>974</v>
      </c>
      <c r="B32" s="230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1485000</v>
      </c>
      <c r="J33" s="1574">
        <v>0</v>
      </c>
      <c r="K33" s="1574">
        <v>0</v>
      </c>
      <c r="L33" s="453"/>
    </row>
    <row r="34" spans="1:12" s="433" customFormat="1" x14ac:dyDescent="0.2">
      <c r="A34" s="1260" t="s">
        <v>994</v>
      </c>
      <c r="B34" s="454">
        <v>7220</v>
      </c>
      <c r="C34" s="1574">
        <v>0</v>
      </c>
      <c r="D34" s="1574">
        <v>0</v>
      </c>
      <c r="E34" s="1574">
        <v>4557</v>
      </c>
      <c r="F34" s="1574">
        <v>0</v>
      </c>
      <c r="G34" s="1582"/>
      <c r="H34" s="1583">
        <v>0</v>
      </c>
      <c r="I34" s="1583">
        <v>15000</v>
      </c>
      <c r="J34" s="1583">
        <v>0</v>
      </c>
      <c r="K34" s="1583">
        <v>0</v>
      </c>
      <c r="L34" s="453"/>
    </row>
    <row r="35" spans="1:12" s="433" customFormat="1" x14ac:dyDescent="0.2">
      <c r="A35" s="1260" t="s">
        <v>983</v>
      </c>
      <c r="B35" s="454">
        <v>7230</v>
      </c>
      <c r="C35" s="1574">
        <v>0</v>
      </c>
      <c r="D35" s="1574">
        <v>0</v>
      </c>
      <c r="E35" s="1574">
        <v>29040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3141</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205000</v>
      </c>
      <c r="F39" s="1582"/>
      <c r="G39" s="1582"/>
      <c r="H39" s="1582"/>
      <c r="I39" s="1582"/>
      <c r="J39" s="1582"/>
      <c r="K39" s="1582"/>
      <c r="L39" s="453"/>
    </row>
    <row r="40" spans="1:12" s="433" customFormat="1" ht="13.5" customHeight="1" x14ac:dyDescent="0.2">
      <c r="A40" s="1260" t="s">
        <v>637</v>
      </c>
      <c r="B40" s="432">
        <v>7700</v>
      </c>
      <c r="C40" s="1582"/>
      <c r="D40" s="1582"/>
      <c r="E40" s="1607">
        <f>SUM(C66:D69)</f>
        <v>22725</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600000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12" t="s">
        <v>371</v>
      </c>
      <c r="B44" s="2313"/>
      <c r="C44" s="1624">
        <f>SUM(C24:C43)</f>
        <v>0</v>
      </c>
      <c r="D44" s="1624">
        <f t="shared" ref="D44:K44" si="6">SUM(D24:D43)</f>
        <v>725000</v>
      </c>
      <c r="E44" s="1624">
        <f t="shared" si="6"/>
        <v>261322</v>
      </c>
      <c r="F44" s="1624">
        <f t="shared" si="6"/>
        <v>23141</v>
      </c>
      <c r="G44" s="1624">
        <f t="shared" si="6"/>
        <v>0</v>
      </c>
      <c r="H44" s="1624">
        <f t="shared" si="6"/>
        <v>1530000</v>
      </c>
      <c r="I44" s="1624">
        <f t="shared" si="6"/>
        <v>1500000</v>
      </c>
      <c r="J44" s="1624">
        <f t="shared" si="6"/>
        <v>0</v>
      </c>
      <c r="K44" s="1624">
        <f t="shared" si="6"/>
        <v>0</v>
      </c>
      <c r="L44" s="453"/>
    </row>
    <row r="45" spans="1:12" ht="15.75" customHeight="1" thickTop="1" x14ac:dyDescent="0.2">
      <c r="A45" s="2306" t="s">
        <v>108</v>
      </c>
      <c r="B45" s="2307"/>
      <c r="C45" s="1625"/>
      <c r="D45" s="1625"/>
      <c r="E45" s="1625"/>
      <c r="F45" s="1625"/>
      <c r="G45" s="1625"/>
      <c r="H45" s="1625"/>
      <c r="I45" s="1625"/>
      <c r="J45" s="1625"/>
      <c r="K45" s="1625"/>
      <c r="L45" s="325"/>
    </row>
    <row r="46" spans="1:12" s="433" customFormat="1" ht="15.75" customHeight="1" x14ac:dyDescent="0.2">
      <c r="A46" s="2314" t="s">
        <v>109</v>
      </c>
      <c r="B46" s="231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1675000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205000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22725</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600000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88" t="s">
        <v>437</v>
      </c>
      <c r="B76" s="2289"/>
      <c r="C76" s="1624">
        <f t="shared" ref="C76:K76" si="7">SUM(C47:C75)</f>
        <v>0</v>
      </c>
      <c r="D76" s="1624">
        <f t="shared" si="7"/>
        <v>827725</v>
      </c>
      <c r="E76" s="1624">
        <f t="shared" si="7"/>
        <v>0</v>
      </c>
      <c r="F76" s="1624">
        <f t="shared" si="7"/>
        <v>0</v>
      </c>
      <c r="G76" s="1624">
        <f t="shared" si="7"/>
        <v>0</v>
      </c>
      <c r="H76" s="1624">
        <f t="shared" si="7"/>
        <v>0</v>
      </c>
      <c r="I76" s="1624">
        <f t="shared" si="7"/>
        <v>1675000</v>
      </c>
      <c r="J76" s="1624">
        <f t="shared" si="7"/>
        <v>0</v>
      </c>
      <c r="K76" s="1624">
        <f t="shared" si="7"/>
        <v>0</v>
      </c>
      <c r="L76" s="453"/>
    </row>
    <row r="77" spans="1:12" ht="14.25" thickTop="1" thickBot="1" x14ac:dyDescent="0.25">
      <c r="A77" s="2290" t="s">
        <v>1167</v>
      </c>
      <c r="B77" s="2291"/>
      <c r="C77" s="1624">
        <f t="shared" ref="C77:K77" si="8">C44-C76</f>
        <v>0</v>
      </c>
      <c r="D77" s="1624">
        <f t="shared" si="8"/>
        <v>-102725</v>
      </c>
      <c r="E77" s="1624">
        <f t="shared" si="8"/>
        <v>261322</v>
      </c>
      <c r="F77" s="1624">
        <f t="shared" si="8"/>
        <v>23141</v>
      </c>
      <c r="G77" s="1624">
        <f t="shared" si="8"/>
        <v>0</v>
      </c>
      <c r="H77" s="1624">
        <f t="shared" si="8"/>
        <v>1530000</v>
      </c>
      <c r="I77" s="1624">
        <f t="shared" si="8"/>
        <v>-175000</v>
      </c>
      <c r="J77" s="1624">
        <f t="shared" si="8"/>
        <v>0</v>
      </c>
      <c r="K77" s="1624">
        <f t="shared" si="8"/>
        <v>0</v>
      </c>
      <c r="L77" s="325"/>
    </row>
    <row r="78" spans="1:12" ht="21.75" customHeight="1" thickTop="1" thickBot="1" x14ac:dyDescent="0.25">
      <c r="A78" s="2294" t="s">
        <v>593</v>
      </c>
      <c r="B78" s="2295"/>
      <c r="C78" s="1629">
        <f t="shared" ref="C78:K78" si="9">C20+C77</f>
        <v>277617</v>
      </c>
      <c r="D78" s="1629">
        <f t="shared" si="9"/>
        <v>162691</v>
      </c>
      <c r="E78" s="1629">
        <f t="shared" si="9"/>
        <v>12786</v>
      </c>
      <c r="F78" s="1629">
        <f t="shared" si="9"/>
        <v>390</v>
      </c>
      <c r="G78" s="1629">
        <f t="shared" si="9"/>
        <v>5834</v>
      </c>
      <c r="H78" s="1629">
        <f t="shared" si="9"/>
        <v>891500</v>
      </c>
      <c r="I78" s="1629">
        <f t="shared" si="9"/>
        <v>-3218</v>
      </c>
      <c r="J78" s="1629">
        <f t="shared" si="9"/>
        <v>78168</v>
      </c>
      <c r="K78" s="1629">
        <f t="shared" si="9"/>
        <v>28381</v>
      </c>
      <c r="L78" s="457"/>
    </row>
    <row r="79" spans="1:12" ht="13.5" thickTop="1" x14ac:dyDescent="0.2">
      <c r="A79" s="1844" t="str">
        <f>"Fund Balances - July 1, "&amp;'AFR20'!E2-1</f>
        <v>Fund Balances - July 1, 2019</v>
      </c>
      <c r="B79" s="458"/>
      <c r="C79" s="1583">
        <v>2482870</v>
      </c>
      <c r="D79" s="1583">
        <v>823210</v>
      </c>
      <c r="E79" s="1630">
        <v>101994</v>
      </c>
      <c r="F79" s="1630">
        <v>508980</v>
      </c>
      <c r="G79" s="1630">
        <v>496381</v>
      </c>
      <c r="H79" s="1630">
        <v>195855</v>
      </c>
      <c r="I79" s="1630">
        <v>2955459</v>
      </c>
      <c r="J79" s="1630">
        <v>272365</v>
      </c>
      <c r="K79" s="1630">
        <v>251843</v>
      </c>
      <c r="L79" s="325"/>
    </row>
    <row r="80" spans="1:12" x14ac:dyDescent="0.2">
      <c r="A80" s="2300" t="s">
        <v>1772</v>
      </c>
      <c r="B80" s="2301"/>
      <c r="C80" s="1574">
        <v>0</v>
      </c>
      <c r="D80" s="1574">
        <v>0</v>
      </c>
      <c r="E80" s="1574">
        <v>0</v>
      </c>
      <c r="F80" s="1574">
        <v>0</v>
      </c>
      <c r="G80" s="1574">
        <v>0</v>
      </c>
      <c r="H80" s="1574">
        <v>0</v>
      </c>
      <c r="I80" s="1574">
        <v>0</v>
      </c>
      <c r="J80" s="1574">
        <v>0</v>
      </c>
      <c r="K80" s="1574">
        <v>0</v>
      </c>
      <c r="L80" s="325"/>
    </row>
    <row r="81" spans="1:12" ht="13.5" thickBot="1" x14ac:dyDescent="0.25">
      <c r="A81" s="2292" t="str">
        <f>"Fund Balances - June 30, "&amp;'AFR20'!E2</f>
        <v>Fund Balances - June 30, 2020</v>
      </c>
      <c r="B81" s="2293"/>
      <c r="C81" s="1594">
        <f>(SUM(C78:C80))</f>
        <v>2760487</v>
      </c>
      <c r="D81" s="1594">
        <f>SUM(D78:D80)</f>
        <v>985901</v>
      </c>
      <c r="E81" s="1594">
        <f t="shared" ref="E81:K81" si="10">SUM(E78:E80)</f>
        <v>114780</v>
      </c>
      <c r="F81" s="1594">
        <f t="shared" si="10"/>
        <v>509370</v>
      </c>
      <c r="G81" s="1594">
        <f t="shared" si="10"/>
        <v>502215</v>
      </c>
      <c r="H81" s="1594">
        <f t="shared" si="10"/>
        <v>1087355</v>
      </c>
      <c r="I81" s="1594">
        <f t="shared" si="10"/>
        <v>2952241</v>
      </c>
      <c r="J81" s="1594">
        <f t="shared" si="10"/>
        <v>350533</v>
      </c>
      <c r="K81" s="1594">
        <f t="shared" si="10"/>
        <v>280224</v>
      </c>
      <c r="L81" s="325"/>
    </row>
    <row r="82" spans="1:12" ht="0.75" customHeight="1" thickTop="1" thickBot="1" x14ac:dyDescent="0.25">
      <c r="A82" s="459" t="s">
        <v>340</v>
      </c>
      <c r="B82" s="460"/>
      <c r="C82" s="461">
        <f>(C81-C79)</f>
        <v>277617</v>
      </c>
      <c r="D82" s="461">
        <f t="shared" ref="D82:K82" si="11">(D81-D79)</f>
        <v>162691</v>
      </c>
      <c r="E82" s="461">
        <f t="shared" si="11"/>
        <v>12786</v>
      </c>
      <c r="F82" s="461">
        <f t="shared" si="11"/>
        <v>390</v>
      </c>
      <c r="G82" s="461">
        <f t="shared" si="11"/>
        <v>5834</v>
      </c>
      <c r="H82" s="461">
        <f t="shared" si="11"/>
        <v>891500</v>
      </c>
      <c r="I82" s="461">
        <f t="shared" si="11"/>
        <v>-3218</v>
      </c>
      <c r="J82" s="461">
        <f t="shared" si="11"/>
        <v>78168</v>
      </c>
      <c r="K82" s="461">
        <f t="shared" si="11"/>
        <v>28381</v>
      </c>
    </row>
    <row r="83" spans="1:12" ht="14.25" hidden="1" thickTop="1" thickBot="1" x14ac:dyDescent="0.25">
      <c r="A83" s="462" t="s">
        <v>341</v>
      </c>
      <c r="B83" s="428"/>
      <c r="C83" s="463">
        <f>C82/C81</f>
        <v>0.10056812439254378</v>
      </c>
      <c r="D83" s="463">
        <f t="shared" ref="D83:K83" si="12">D82/D81</f>
        <v>0.16501758290132579</v>
      </c>
      <c r="E83" s="463">
        <f t="shared" si="12"/>
        <v>0.11139571353894406</v>
      </c>
      <c r="F83" s="463">
        <f t="shared" si="12"/>
        <v>7.6565168737852639E-4</v>
      </c>
      <c r="G83" s="463">
        <f t="shared" si="12"/>
        <v>1.1616538733410989E-2</v>
      </c>
      <c r="H83" s="463">
        <f t="shared" si="12"/>
        <v>0.81987943220015547</v>
      </c>
      <c r="I83" s="463">
        <f t="shared" si="12"/>
        <v>-1.090019412371822E-3</v>
      </c>
      <c r="J83" s="463">
        <f t="shared" si="12"/>
        <v>0.22299754944612918</v>
      </c>
      <c r="K83" s="463">
        <f t="shared" si="12"/>
        <v>0.10127969053328766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I15" sqref="I15"/>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6" t="s">
        <v>1779</v>
      </c>
      <c r="B1" s="416"/>
      <c r="C1" s="417" t="s">
        <v>422</v>
      </c>
      <c r="D1" s="417" t="s">
        <v>423</v>
      </c>
      <c r="E1" s="417" t="s">
        <v>424</v>
      </c>
      <c r="F1" s="417" t="s">
        <v>425</v>
      </c>
      <c r="G1" s="417" t="s">
        <v>426</v>
      </c>
      <c r="H1" s="417" t="s">
        <v>427</v>
      </c>
      <c r="I1" s="417" t="s">
        <v>428</v>
      </c>
      <c r="J1" s="417" t="s">
        <v>429</v>
      </c>
      <c r="K1" s="417" t="s">
        <v>751</v>
      </c>
    </row>
    <row r="2" spans="1:12" ht="36" x14ac:dyDescent="0.2">
      <c r="A2" s="229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2973048</v>
      </c>
      <c r="D5" s="1586">
        <v>542527</v>
      </c>
      <c r="E5" s="1573">
        <v>764147</v>
      </c>
      <c r="F5" s="1631">
        <v>260413</v>
      </c>
      <c r="G5" s="1573">
        <v>95376</v>
      </c>
      <c r="H5" s="1573">
        <v>0</v>
      </c>
      <c r="I5" s="1573">
        <v>108505</v>
      </c>
      <c r="J5" s="1574">
        <v>286085</v>
      </c>
      <c r="K5" s="1573">
        <v>22222</v>
      </c>
    </row>
    <row r="6" spans="1:12" ht="15" x14ac:dyDescent="0.2">
      <c r="A6" s="427" t="s">
        <v>1643</v>
      </c>
      <c r="B6" s="429">
        <v>1130</v>
      </c>
      <c r="C6" s="1573">
        <v>66666</v>
      </c>
      <c r="D6" s="1573">
        <v>0</v>
      </c>
      <c r="E6" s="1580"/>
      <c r="F6" s="1580"/>
      <c r="G6" s="1575"/>
      <c r="H6" s="1575"/>
      <c r="I6" s="1575"/>
      <c r="J6" s="1575"/>
      <c r="K6" s="1575"/>
    </row>
    <row r="7" spans="1:12" x14ac:dyDescent="0.2">
      <c r="A7" s="427" t="s">
        <v>110</v>
      </c>
      <c r="B7" s="471">
        <v>1140</v>
      </c>
      <c r="C7" s="1573">
        <v>43403</v>
      </c>
      <c r="D7" s="1573">
        <v>0</v>
      </c>
      <c r="E7" s="1575"/>
      <c r="F7" s="1574">
        <v>0</v>
      </c>
      <c r="G7" s="1574">
        <v>0</v>
      </c>
      <c r="H7" s="1574">
        <v>0</v>
      </c>
      <c r="I7" s="1575"/>
      <c r="J7" s="1575"/>
      <c r="K7" s="1575"/>
    </row>
    <row r="8" spans="1:12" x14ac:dyDescent="0.2">
      <c r="A8" s="427" t="s">
        <v>410</v>
      </c>
      <c r="B8" s="429">
        <v>1150</v>
      </c>
      <c r="C8" s="1580"/>
      <c r="D8" s="1580"/>
      <c r="E8" s="1582"/>
      <c r="F8" s="1582"/>
      <c r="G8" s="1586">
        <v>105402</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3083117</v>
      </c>
      <c r="D12" s="1633">
        <f t="shared" si="0"/>
        <v>542527</v>
      </c>
      <c r="E12" s="1633">
        <f t="shared" si="0"/>
        <v>764147</v>
      </c>
      <c r="F12" s="1633">
        <f t="shared" si="0"/>
        <v>260413</v>
      </c>
      <c r="G12" s="1633">
        <f t="shared" si="0"/>
        <v>200778</v>
      </c>
      <c r="H12" s="1633">
        <f t="shared" si="0"/>
        <v>0</v>
      </c>
      <c r="I12" s="1633">
        <f t="shared" si="0"/>
        <v>108505</v>
      </c>
      <c r="J12" s="1633">
        <f t="shared" si="0"/>
        <v>286085</v>
      </c>
      <c r="K12" s="1594">
        <f t="shared" si="0"/>
        <v>22222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1471</v>
      </c>
      <c r="D14" s="1573">
        <v>259</v>
      </c>
      <c r="E14" s="1573">
        <v>364</v>
      </c>
      <c r="F14" s="1573">
        <v>124</v>
      </c>
      <c r="G14" s="1573">
        <v>96</v>
      </c>
      <c r="H14" s="1573">
        <v>0</v>
      </c>
      <c r="I14" s="1573">
        <v>52</v>
      </c>
      <c r="J14" s="1574">
        <v>136</v>
      </c>
      <c r="K14" s="1573">
        <v>11</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516394</v>
      </c>
      <c r="D16" s="1573">
        <v>0</v>
      </c>
      <c r="E16" s="1573">
        <v>0</v>
      </c>
      <c r="F16" s="1573">
        <v>0</v>
      </c>
      <c r="G16" s="1573">
        <v>31200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517865</v>
      </c>
      <c r="D18" s="1635">
        <f t="shared" ref="D18:K18" si="1">SUM(D14:D17)</f>
        <v>259</v>
      </c>
      <c r="E18" s="1635">
        <f t="shared" si="1"/>
        <v>364</v>
      </c>
      <c r="F18" s="1635">
        <f t="shared" si="1"/>
        <v>124</v>
      </c>
      <c r="G18" s="1635">
        <f t="shared" si="1"/>
        <v>31296</v>
      </c>
      <c r="H18" s="1635">
        <f t="shared" si="1"/>
        <v>0</v>
      </c>
      <c r="I18" s="1635">
        <f t="shared" si="1"/>
        <v>52</v>
      </c>
      <c r="J18" s="1635">
        <f t="shared" si="1"/>
        <v>136</v>
      </c>
      <c r="K18" s="1636">
        <f t="shared" si="1"/>
        <v>11</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525</v>
      </c>
      <c r="D20" s="1575"/>
      <c r="E20" s="1575"/>
      <c r="F20" s="1575"/>
      <c r="G20" s="1575"/>
      <c r="H20" s="1575"/>
      <c r="I20" s="1575"/>
      <c r="J20" s="1575"/>
      <c r="K20" s="1575"/>
    </row>
    <row r="21" spans="1:11" ht="12.75" customHeight="1" x14ac:dyDescent="0.2">
      <c r="A21" s="427" t="s">
        <v>827</v>
      </c>
      <c r="B21" s="429">
        <v>1312</v>
      </c>
      <c r="C21" s="1632">
        <v>1100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1625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418600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739</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419339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86435</v>
      </c>
      <c r="D65" s="1573">
        <v>13033</v>
      </c>
      <c r="E65" s="1573">
        <v>5443</v>
      </c>
      <c r="F65" s="1574">
        <v>11531</v>
      </c>
      <c r="G65" s="1573">
        <v>12914</v>
      </c>
      <c r="H65" s="1573">
        <v>6716</v>
      </c>
      <c r="I65" s="1573">
        <v>63225</v>
      </c>
      <c r="J65" s="1574">
        <v>8297</v>
      </c>
      <c r="K65" s="1573">
        <v>6148</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86435</v>
      </c>
      <c r="D67" s="1594">
        <f t="shared" ref="D67:K67" si="2">SUM(D65:D66)</f>
        <v>13033</v>
      </c>
      <c r="E67" s="1594">
        <f t="shared" si="2"/>
        <v>5443</v>
      </c>
      <c r="F67" s="1594">
        <f t="shared" si="2"/>
        <v>11531</v>
      </c>
      <c r="G67" s="1594">
        <f t="shared" si="2"/>
        <v>12914</v>
      </c>
      <c r="H67" s="1594">
        <f t="shared" si="2"/>
        <v>6716</v>
      </c>
      <c r="I67" s="1594">
        <f t="shared" si="2"/>
        <v>63225</v>
      </c>
      <c r="J67" s="1594">
        <f t="shared" si="2"/>
        <v>8297</v>
      </c>
      <c r="K67" s="1594">
        <f t="shared" si="2"/>
        <v>6148</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19154</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151178</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3447</v>
      </c>
      <c r="D73" s="1575"/>
      <c r="E73" s="1575"/>
      <c r="F73" s="1575"/>
      <c r="G73" s="1575"/>
      <c r="H73" s="1575"/>
      <c r="I73" s="1575"/>
      <c r="J73" s="1575"/>
      <c r="K73" s="1575"/>
    </row>
    <row r="74" spans="1:11" ht="12.75" customHeight="1" x14ac:dyDescent="0.2">
      <c r="A74" s="427" t="s">
        <v>25</v>
      </c>
      <c r="B74" s="429">
        <v>1690</v>
      </c>
      <c r="C74" s="1632">
        <v>3603</v>
      </c>
      <c r="D74" s="1575"/>
      <c r="E74" s="1575"/>
      <c r="F74" s="1575"/>
      <c r="G74" s="1575"/>
      <c r="H74" s="1575"/>
      <c r="I74" s="1575"/>
      <c r="J74" s="1575"/>
      <c r="K74" s="1575"/>
    </row>
    <row r="75" spans="1:11" ht="12.75" customHeight="1" thickBot="1" x14ac:dyDescent="0.25">
      <c r="A75" s="1406" t="s">
        <v>544</v>
      </c>
      <c r="B75" s="1407"/>
      <c r="C75" s="1594">
        <f>SUM(C69:C74)</f>
        <v>177382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23231</v>
      </c>
      <c r="D77" s="1573">
        <v>0</v>
      </c>
      <c r="E77" s="1575"/>
      <c r="F77" s="1575"/>
      <c r="G77" s="1575"/>
      <c r="H77" s="1575"/>
      <c r="I77" s="1575"/>
      <c r="J77" s="1575"/>
      <c r="K77" s="1575"/>
    </row>
    <row r="78" spans="1:11" ht="12.75" customHeight="1" x14ac:dyDescent="0.2">
      <c r="A78" s="427" t="s">
        <v>76</v>
      </c>
      <c r="B78" s="429">
        <v>1719</v>
      </c>
      <c r="C78" s="1632">
        <v>3970</v>
      </c>
      <c r="D78" s="1573">
        <v>0</v>
      </c>
      <c r="E78" s="1575"/>
      <c r="F78" s="1575"/>
      <c r="G78" s="1575"/>
      <c r="H78" s="1575"/>
      <c r="I78" s="1575"/>
      <c r="J78" s="1575"/>
      <c r="K78" s="1575"/>
    </row>
    <row r="79" spans="1:11" ht="12.75" customHeight="1" x14ac:dyDescent="0.2">
      <c r="A79" s="427" t="s">
        <v>546</v>
      </c>
      <c r="B79" s="429">
        <v>1720</v>
      </c>
      <c r="C79" s="1632">
        <v>13735</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19670</v>
      </c>
      <c r="D81" s="1573">
        <v>0</v>
      </c>
      <c r="E81" s="1575"/>
      <c r="F81" s="1575"/>
      <c r="G81" s="1575"/>
      <c r="H81" s="1575"/>
      <c r="I81" s="1575"/>
      <c r="J81" s="1575"/>
      <c r="K81" s="1575"/>
    </row>
    <row r="82" spans="1:11" ht="12.75" customHeight="1" thickBot="1" x14ac:dyDescent="0.25">
      <c r="A82" s="1406" t="s">
        <v>239</v>
      </c>
      <c r="B82" s="1407"/>
      <c r="C82" s="1633">
        <f>SUM(C77:C81)</f>
        <v>60606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25053</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25053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550</v>
      </c>
      <c r="E95" s="1617"/>
      <c r="F95" s="1617"/>
      <c r="G95" s="1617"/>
      <c r="H95" s="1617"/>
      <c r="I95" s="1617"/>
      <c r="J95" s="1617"/>
      <c r="K95" s="1617"/>
    </row>
    <row r="96" spans="1:11" ht="12.75" customHeight="1" x14ac:dyDescent="0.2">
      <c r="A96" s="427" t="s">
        <v>388</v>
      </c>
      <c r="B96" s="429">
        <v>1920</v>
      </c>
      <c r="C96" s="1632">
        <v>6447</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9619</v>
      </c>
      <c r="D98" s="1573">
        <v>0</v>
      </c>
      <c r="E98" s="1612"/>
      <c r="F98" s="1573">
        <v>0</v>
      </c>
      <c r="G98" s="1612"/>
      <c r="H98" s="1612"/>
      <c r="I98" s="1610"/>
      <c r="J98" s="1612"/>
      <c r="K98" s="1612"/>
    </row>
    <row r="99" spans="1:12" ht="12.75" customHeight="1" x14ac:dyDescent="0.2">
      <c r="A99" s="427" t="s">
        <v>816</v>
      </c>
      <c r="B99" s="429">
        <v>1950</v>
      </c>
      <c r="C99" s="1598">
        <v>588</v>
      </c>
      <c r="D99" s="1573">
        <v>10497</v>
      </c>
      <c r="E99" s="1573">
        <v>0</v>
      </c>
      <c r="F99" s="1573">
        <v>0</v>
      </c>
      <c r="G99" s="1573">
        <v>0</v>
      </c>
      <c r="H99" s="1573">
        <v>0</v>
      </c>
      <c r="I99" s="1575"/>
      <c r="J99" s="1574">
        <v>19329</v>
      </c>
      <c r="K99" s="1573">
        <v>0</v>
      </c>
    </row>
    <row r="100" spans="1:12" ht="12.75" customHeight="1" x14ac:dyDescent="0.2">
      <c r="A100" s="427" t="s">
        <v>243</v>
      </c>
      <c r="B100" s="429">
        <v>1960</v>
      </c>
      <c r="C100" s="1598">
        <v>0</v>
      </c>
      <c r="D100" s="1598">
        <v>312184</v>
      </c>
      <c r="E100" s="1598">
        <v>0</v>
      </c>
      <c r="F100" s="1598">
        <v>0</v>
      </c>
      <c r="G100" s="1598">
        <v>0</v>
      </c>
      <c r="H100" s="1598">
        <v>0</v>
      </c>
      <c r="I100" s="1574">
        <v>0</v>
      </c>
      <c r="J100" s="1598">
        <v>0</v>
      </c>
      <c r="K100" s="1574">
        <v>0</v>
      </c>
    </row>
    <row r="101" spans="1:12" ht="12.75" customHeight="1" x14ac:dyDescent="0.2">
      <c r="A101" s="427" t="s">
        <v>244</v>
      </c>
      <c r="B101" s="429">
        <v>1970</v>
      </c>
      <c r="C101" s="1598">
        <v>2900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18268</v>
      </c>
      <c r="I103" s="1575"/>
      <c r="J103" s="1610"/>
      <c r="K103" s="1610"/>
    </row>
    <row r="104" spans="1:12" ht="12.75" customHeight="1" x14ac:dyDescent="0.2">
      <c r="A104" s="427" t="s">
        <v>825</v>
      </c>
      <c r="B104" s="429">
        <v>1991</v>
      </c>
      <c r="C104" s="1598">
        <v>0</v>
      </c>
      <c r="D104" s="1573">
        <v>0</v>
      </c>
      <c r="E104" s="1586">
        <v>0</v>
      </c>
      <c r="F104" s="1574">
        <v>0</v>
      </c>
      <c r="G104" s="1574">
        <v>41400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40578</v>
      </c>
      <c r="D107" s="1573">
        <v>69918</v>
      </c>
      <c r="E107" s="1573">
        <v>0</v>
      </c>
      <c r="F107" s="1573">
        <v>24</v>
      </c>
      <c r="G107" s="1573">
        <v>0</v>
      </c>
      <c r="H107" s="1573">
        <v>0</v>
      </c>
      <c r="I107" s="1573">
        <v>0</v>
      </c>
      <c r="J107" s="1574">
        <v>0</v>
      </c>
      <c r="K107" s="1573">
        <v>0</v>
      </c>
    </row>
    <row r="108" spans="1:12" ht="12.75" customHeight="1" thickBot="1" x14ac:dyDescent="0.25">
      <c r="A108" s="1406" t="s">
        <v>484</v>
      </c>
      <c r="B108" s="1408"/>
      <c r="C108" s="1633">
        <f>SUM(C95:C107)</f>
        <v>60132</v>
      </c>
      <c r="D108" s="1633">
        <f t="shared" ref="D108:K108" si="3">SUM(D95:D107)</f>
        <v>393149</v>
      </c>
      <c r="E108" s="1633">
        <f t="shared" si="3"/>
        <v>0</v>
      </c>
      <c r="F108" s="1633">
        <f t="shared" si="3"/>
        <v>24</v>
      </c>
      <c r="G108" s="1633">
        <f t="shared" si="3"/>
        <v>41400</v>
      </c>
      <c r="H108" s="1633">
        <f t="shared" si="3"/>
        <v>18268</v>
      </c>
      <c r="I108" s="1633">
        <f t="shared" si="3"/>
        <v>0</v>
      </c>
      <c r="J108" s="1633">
        <f t="shared" si="3"/>
        <v>19329</v>
      </c>
      <c r="K108" s="1594">
        <f t="shared" si="3"/>
        <v>0</v>
      </c>
    </row>
    <row r="109" spans="1:12" ht="14.25" thickTop="1" thickBot="1" x14ac:dyDescent="0.25">
      <c r="A109" s="1409" t="s">
        <v>246</v>
      </c>
      <c r="B109" s="1410" t="s">
        <v>566</v>
      </c>
      <c r="C109" s="1641">
        <f t="shared" ref="C109:K109" si="4">SUM(C12,C18,C40,C63,C67,C75,C82,C93,C108,)</f>
        <v>4012215</v>
      </c>
      <c r="D109" s="1641">
        <f t="shared" si="4"/>
        <v>948968</v>
      </c>
      <c r="E109" s="1641">
        <f t="shared" si="4"/>
        <v>769954</v>
      </c>
      <c r="F109" s="1641">
        <f t="shared" si="4"/>
        <v>691431</v>
      </c>
      <c r="G109" s="1641">
        <f t="shared" si="4"/>
        <v>286388</v>
      </c>
      <c r="H109" s="1641">
        <f t="shared" si="4"/>
        <v>24984</v>
      </c>
      <c r="I109" s="1641">
        <f t="shared" si="4"/>
        <v>171782</v>
      </c>
      <c r="J109" s="1641">
        <f t="shared" si="4"/>
        <v>313847</v>
      </c>
      <c r="K109" s="1629">
        <f t="shared" si="4"/>
        <v>28381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1761505</v>
      </c>
      <c r="D117" s="1586">
        <v>0</v>
      </c>
      <c r="E117" s="1573">
        <v>0</v>
      </c>
      <c r="F117" s="1586">
        <v>30000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1761505</v>
      </c>
      <c r="D122" s="1633">
        <f t="shared" si="5"/>
        <v>0</v>
      </c>
      <c r="E122" s="1633">
        <f t="shared" si="5"/>
        <v>0</v>
      </c>
      <c r="F122" s="1633">
        <f t="shared" si="5"/>
        <v>30000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57502</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57502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9320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5737</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15057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1081</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17411</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57525</v>
      </c>
      <c r="G152" s="1574">
        <v>0</v>
      </c>
      <c r="H152" s="1575"/>
      <c r="I152" s="1575"/>
      <c r="J152" s="1575"/>
      <c r="K152" s="1575"/>
    </row>
    <row r="153" spans="1:11" ht="12.75" customHeight="1" x14ac:dyDescent="0.2">
      <c r="A153" s="427" t="s">
        <v>1048</v>
      </c>
      <c r="B153" s="478">
        <v>3510</v>
      </c>
      <c r="C153" s="1632">
        <v>0</v>
      </c>
      <c r="D153" s="1573">
        <v>0</v>
      </c>
      <c r="E153" s="1640"/>
      <c r="F153" s="1573">
        <v>130799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188324</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316" t="s">
        <v>395</v>
      </c>
      <c r="B169" s="2317"/>
      <c r="C169" s="1658">
        <f t="shared" ref="C169:K169" si="6">SUM(C132,C141,C145,C146:C150,C155,C156:C167,C168)</f>
        <v>91801</v>
      </c>
      <c r="D169" s="1658">
        <f t="shared" si="6"/>
        <v>0</v>
      </c>
      <c r="E169" s="1658">
        <f t="shared" si="6"/>
        <v>0</v>
      </c>
      <c r="F169" s="1658">
        <f t="shared" si="6"/>
        <v>188324</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1853306</v>
      </c>
      <c r="D170" s="1641">
        <f t="shared" si="7"/>
        <v>0</v>
      </c>
      <c r="E170" s="1641">
        <f t="shared" si="7"/>
        <v>0</v>
      </c>
      <c r="F170" s="1641">
        <f t="shared" si="7"/>
        <v>218324</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18" t="s">
        <v>1475</v>
      </c>
      <c r="B172" s="231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22" t="s">
        <v>1646</v>
      </c>
      <c r="B175" s="232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26" t="s">
        <v>1645</v>
      </c>
      <c r="B176" s="232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37833</v>
      </c>
      <c r="D180" s="1573">
        <v>0</v>
      </c>
      <c r="E180" s="1575"/>
      <c r="F180" s="1573">
        <v>0</v>
      </c>
      <c r="G180" s="1573">
        <v>0</v>
      </c>
      <c r="H180" s="1573">
        <v>0</v>
      </c>
      <c r="I180" s="1575"/>
      <c r="J180" s="1575"/>
      <c r="K180" s="1573">
        <v>0</v>
      </c>
    </row>
    <row r="181" spans="1:11" ht="13.5" thickBot="1" x14ac:dyDescent="0.25">
      <c r="A181" s="2324" t="s">
        <v>780</v>
      </c>
      <c r="B181" s="2325"/>
      <c r="C181" s="1633">
        <f>SUM(C177:C180)</f>
        <v>37833</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20" t="s">
        <v>1780</v>
      </c>
      <c r="B182" s="232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73926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9912</v>
      </c>
      <c r="D193" s="1575"/>
      <c r="E193" s="1640"/>
      <c r="F193" s="1575"/>
      <c r="G193" s="1664">
        <v>0</v>
      </c>
      <c r="H193" s="1575"/>
      <c r="I193" s="1575"/>
      <c r="J193" s="1575"/>
      <c r="K193" s="1575"/>
    </row>
    <row r="194" spans="1:11" ht="12.75" customHeight="1" x14ac:dyDescent="0.2">
      <c r="A194" s="427" t="s">
        <v>1434</v>
      </c>
      <c r="B194" s="429">
        <v>4225</v>
      </c>
      <c r="C194" s="1632">
        <v>16805</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100643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136893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136893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5540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5540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90879</v>
      </c>
      <c r="D213" s="1573">
        <v>0</v>
      </c>
      <c r="E213" s="1575"/>
      <c r="F213" s="1573">
        <v>0</v>
      </c>
      <c r="G213" s="1573">
        <v>0</v>
      </c>
      <c r="H213" s="1575"/>
      <c r="I213" s="1575"/>
      <c r="J213" s="1575"/>
      <c r="K213" s="1575"/>
    </row>
    <row r="214" spans="1:11" ht="12.75" customHeight="1" x14ac:dyDescent="0.2">
      <c r="A214" s="427" t="s">
        <v>1045</v>
      </c>
      <c r="B214" s="429">
        <v>4625</v>
      </c>
      <c r="C214" s="1632">
        <v>95430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186309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11027</v>
      </c>
      <c r="D220" s="1573">
        <v>0</v>
      </c>
      <c r="E220" s="1575"/>
      <c r="F220" s="1575"/>
      <c r="G220" s="1573">
        <v>0</v>
      </c>
      <c r="H220" s="1575"/>
      <c r="I220" s="1575"/>
      <c r="J220" s="1575"/>
      <c r="K220" s="1575"/>
    </row>
    <row r="221" spans="1:11" ht="12.75" customHeight="1" thickBot="1" x14ac:dyDescent="0.25">
      <c r="A221" s="1415" t="s">
        <v>1076</v>
      </c>
      <c r="B221" s="1416"/>
      <c r="C221" s="1633">
        <f>SUM(C219:C220)</f>
        <v>11027</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10126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8277</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458815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496648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6362169</v>
      </c>
      <c r="D268" s="1641">
        <f t="shared" si="12"/>
        <v>948968</v>
      </c>
      <c r="E268" s="1641">
        <f t="shared" si="12"/>
        <v>769954</v>
      </c>
      <c r="F268" s="1641">
        <f t="shared" si="12"/>
        <v>909755</v>
      </c>
      <c r="G268" s="1641">
        <f t="shared" si="12"/>
        <v>286388</v>
      </c>
      <c r="H268" s="1641">
        <f t="shared" si="12"/>
        <v>74984</v>
      </c>
      <c r="I268" s="1641">
        <f t="shared" si="12"/>
        <v>171782</v>
      </c>
      <c r="J268" s="1641">
        <f t="shared" si="12"/>
        <v>313847</v>
      </c>
      <c r="K268" s="1629">
        <f t="shared" si="12"/>
        <v>28381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I15" sqref="I1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36" t="s">
        <v>294</v>
      </c>
      <c r="B3" s="233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2318171</v>
      </c>
      <c r="D5" s="1573">
        <v>286155</v>
      </c>
      <c r="E5" s="1573">
        <v>3501</v>
      </c>
      <c r="F5" s="1573">
        <v>54857</v>
      </c>
      <c r="G5" s="1573">
        <v>12786</v>
      </c>
      <c r="H5" s="1573">
        <v>0</v>
      </c>
      <c r="I5" s="1574">
        <v>0</v>
      </c>
      <c r="J5" s="1574">
        <v>0</v>
      </c>
      <c r="K5" s="1672">
        <f>SUM(C5:J5)</f>
        <v>2675470</v>
      </c>
      <c r="L5" s="1573">
        <v>2744752</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574617</v>
      </c>
      <c r="D8" s="1573">
        <v>61334</v>
      </c>
      <c r="E8" s="1573">
        <v>2595</v>
      </c>
      <c r="F8" s="1573">
        <v>971</v>
      </c>
      <c r="G8" s="1573">
        <v>0</v>
      </c>
      <c r="H8" s="1573">
        <v>0</v>
      </c>
      <c r="I8" s="1574">
        <v>0</v>
      </c>
      <c r="J8" s="1574">
        <v>0</v>
      </c>
      <c r="K8" s="1672">
        <f t="shared" si="0"/>
        <v>639517</v>
      </c>
      <c r="L8" s="1573">
        <v>657937</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31099</v>
      </c>
      <c r="D10" s="1573">
        <v>175</v>
      </c>
      <c r="E10" s="1573">
        <v>36247</v>
      </c>
      <c r="F10" s="1573">
        <v>11480</v>
      </c>
      <c r="G10" s="1573">
        <v>7205</v>
      </c>
      <c r="H10" s="1573">
        <v>0</v>
      </c>
      <c r="I10" s="1574">
        <v>0</v>
      </c>
      <c r="J10" s="1574">
        <v>0</v>
      </c>
      <c r="K10" s="1672">
        <f t="shared" si="0"/>
        <v>86206</v>
      </c>
      <c r="L10" s="1573">
        <v>85596</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11027</v>
      </c>
      <c r="D13" s="1573">
        <v>0</v>
      </c>
      <c r="E13" s="1573">
        <v>0</v>
      </c>
      <c r="F13" s="1573">
        <v>2377</v>
      </c>
      <c r="G13" s="1573">
        <v>0</v>
      </c>
      <c r="H13" s="1573">
        <v>0</v>
      </c>
      <c r="I13" s="1574">
        <v>0</v>
      </c>
      <c r="J13" s="1574">
        <v>0</v>
      </c>
      <c r="K13" s="1672">
        <f t="shared" si="0"/>
        <v>13404</v>
      </c>
      <c r="L13" s="1573">
        <v>12500</v>
      </c>
    </row>
    <row r="14" spans="1:14" x14ac:dyDescent="0.2">
      <c r="A14" s="1274" t="s">
        <v>957</v>
      </c>
      <c r="B14" s="503">
        <v>1500</v>
      </c>
      <c r="C14" s="1573">
        <v>297887</v>
      </c>
      <c r="D14" s="1573">
        <v>11493</v>
      </c>
      <c r="E14" s="1573">
        <v>44763</v>
      </c>
      <c r="F14" s="1573">
        <v>21911</v>
      </c>
      <c r="G14" s="1573">
        <v>0</v>
      </c>
      <c r="H14" s="1573">
        <v>740</v>
      </c>
      <c r="I14" s="1574">
        <v>0</v>
      </c>
      <c r="J14" s="1574">
        <v>0</v>
      </c>
      <c r="K14" s="1672">
        <f t="shared" si="0"/>
        <v>376794</v>
      </c>
      <c r="L14" s="1573">
        <v>413367</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1440</v>
      </c>
      <c r="F16" s="1573">
        <v>0</v>
      </c>
      <c r="G16" s="1573">
        <v>0</v>
      </c>
      <c r="H16" s="1573">
        <v>0</v>
      </c>
      <c r="I16" s="1574">
        <v>0</v>
      </c>
      <c r="J16" s="1574">
        <v>0</v>
      </c>
      <c r="K16" s="1672">
        <f t="shared" si="0"/>
        <v>1440</v>
      </c>
      <c r="L16" s="1573">
        <v>2500</v>
      </c>
    </row>
    <row r="17" spans="1:12" x14ac:dyDescent="0.2">
      <c r="A17" s="1274" t="s">
        <v>719</v>
      </c>
      <c r="B17" s="503" t="s">
        <v>161</v>
      </c>
      <c r="C17" s="1574">
        <v>65979</v>
      </c>
      <c r="D17" s="1574">
        <v>12864</v>
      </c>
      <c r="E17" s="1574">
        <v>0</v>
      </c>
      <c r="F17" s="1574">
        <v>0</v>
      </c>
      <c r="G17" s="1574">
        <v>16758</v>
      </c>
      <c r="H17" s="1574">
        <v>0</v>
      </c>
      <c r="I17" s="1574">
        <v>0</v>
      </c>
      <c r="J17" s="1574">
        <v>0</v>
      </c>
      <c r="K17" s="1672">
        <f t="shared" si="0"/>
        <v>95601</v>
      </c>
      <c r="L17" s="1573">
        <v>108645</v>
      </c>
    </row>
    <row r="18" spans="1:12" x14ac:dyDescent="0.2">
      <c r="A18" s="1274" t="s">
        <v>1078</v>
      </c>
      <c r="B18" s="503">
        <v>1800</v>
      </c>
      <c r="C18" s="1573">
        <v>61059</v>
      </c>
      <c r="D18" s="1573">
        <v>1611</v>
      </c>
      <c r="E18" s="1573">
        <v>0</v>
      </c>
      <c r="F18" s="1573">
        <v>0</v>
      </c>
      <c r="G18" s="1573">
        <v>0</v>
      </c>
      <c r="H18" s="1573">
        <v>0</v>
      </c>
      <c r="I18" s="1574">
        <v>0</v>
      </c>
      <c r="J18" s="1574">
        <v>0</v>
      </c>
      <c r="K18" s="1672">
        <f t="shared" si="0"/>
        <v>62670</v>
      </c>
      <c r="L18" s="1573">
        <v>70497</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314094</v>
      </c>
      <c r="I22" s="1673"/>
      <c r="J22" s="1582"/>
      <c r="K22" s="1672">
        <f t="shared" si="0"/>
        <v>314094</v>
      </c>
      <c r="L22" s="1577">
        <v>304700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3359839</v>
      </c>
      <c r="D33" s="1674">
        <f t="shared" ref="D33:L33" si="1">SUM(D5:D32)</f>
        <v>373632</v>
      </c>
      <c r="E33" s="1674">
        <f t="shared" si="1"/>
        <v>88546</v>
      </c>
      <c r="F33" s="1674">
        <f t="shared" si="1"/>
        <v>91596</v>
      </c>
      <c r="G33" s="1674">
        <f t="shared" si="1"/>
        <v>36749</v>
      </c>
      <c r="H33" s="1674">
        <f t="shared" si="1"/>
        <v>314834</v>
      </c>
      <c r="I33" s="1674">
        <f t="shared" si="1"/>
        <v>0</v>
      </c>
      <c r="J33" s="1674">
        <f t="shared" si="1"/>
        <v>0</v>
      </c>
      <c r="K33" s="1674">
        <f t="shared" si="1"/>
        <v>4265196</v>
      </c>
      <c r="L33" s="1674">
        <f t="shared" si="1"/>
        <v>4400494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90195</v>
      </c>
      <c r="D36" s="1586">
        <v>16010</v>
      </c>
      <c r="E36" s="1586">
        <v>166</v>
      </c>
      <c r="F36" s="1586">
        <v>0</v>
      </c>
      <c r="G36" s="1586">
        <v>0</v>
      </c>
      <c r="H36" s="1586">
        <v>0</v>
      </c>
      <c r="I36" s="1574">
        <v>0</v>
      </c>
      <c r="J36" s="1574">
        <v>0</v>
      </c>
      <c r="K36" s="1672">
        <f t="shared" ref="K36:K41" si="2">SUM(C36:J36)</f>
        <v>106371</v>
      </c>
      <c r="L36" s="1573">
        <v>108598</v>
      </c>
    </row>
    <row r="37" spans="1:14" x14ac:dyDescent="0.2">
      <c r="A37" s="1274" t="s">
        <v>1081</v>
      </c>
      <c r="B37" s="503">
        <v>2120</v>
      </c>
      <c r="C37" s="1573">
        <v>237274</v>
      </c>
      <c r="D37" s="1573">
        <v>36030</v>
      </c>
      <c r="E37" s="1573">
        <v>1105</v>
      </c>
      <c r="F37" s="1573">
        <v>235</v>
      </c>
      <c r="G37" s="1573">
        <v>0</v>
      </c>
      <c r="H37" s="1573">
        <v>0</v>
      </c>
      <c r="I37" s="1574">
        <v>0</v>
      </c>
      <c r="J37" s="1574">
        <v>0</v>
      </c>
      <c r="K37" s="1672">
        <f t="shared" si="2"/>
        <v>274644</v>
      </c>
      <c r="L37" s="1573">
        <v>279448</v>
      </c>
    </row>
    <row r="38" spans="1:14" x14ac:dyDescent="0.2">
      <c r="A38" s="1274" t="s">
        <v>196</v>
      </c>
      <c r="B38" s="503">
        <v>2130</v>
      </c>
      <c r="C38" s="1573">
        <v>28497</v>
      </c>
      <c r="D38" s="1573">
        <v>13094</v>
      </c>
      <c r="E38" s="1573">
        <v>2213</v>
      </c>
      <c r="F38" s="1573">
        <v>713</v>
      </c>
      <c r="G38" s="1573">
        <v>155</v>
      </c>
      <c r="H38" s="1573">
        <v>0</v>
      </c>
      <c r="I38" s="1573">
        <v>0</v>
      </c>
      <c r="J38" s="1573">
        <v>0</v>
      </c>
      <c r="K38" s="1672">
        <f t="shared" si="2"/>
        <v>44672</v>
      </c>
      <c r="L38" s="1573">
        <v>51335</v>
      </c>
    </row>
    <row r="39" spans="1:14" x14ac:dyDescent="0.2">
      <c r="A39" s="1274" t="s">
        <v>197</v>
      </c>
      <c r="B39" s="503">
        <v>2140</v>
      </c>
      <c r="C39" s="1573">
        <v>10403</v>
      </c>
      <c r="D39" s="1573">
        <v>0</v>
      </c>
      <c r="E39" s="1573">
        <v>0</v>
      </c>
      <c r="F39" s="1573">
        <v>0</v>
      </c>
      <c r="G39" s="1573">
        <v>0</v>
      </c>
      <c r="H39" s="1573">
        <v>0</v>
      </c>
      <c r="I39" s="1574">
        <v>0</v>
      </c>
      <c r="J39" s="1574">
        <v>0</v>
      </c>
      <c r="K39" s="1672">
        <f t="shared" si="2"/>
        <v>10403</v>
      </c>
      <c r="L39" s="1573">
        <v>13000</v>
      </c>
    </row>
    <row r="40" spans="1:14" x14ac:dyDescent="0.2">
      <c r="A40" s="1274" t="s">
        <v>198</v>
      </c>
      <c r="B40" s="503">
        <v>2150</v>
      </c>
      <c r="C40" s="1573">
        <v>0</v>
      </c>
      <c r="D40" s="1573">
        <v>0</v>
      </c>
      <c r="E40" s="1573">
        <v>8113</v>
      </c>
      <c r="F40" s="1573">
        <v>0</v>
      </c>
      <c r="G40" s="1573">
        <v>0</v>
      </c>
      <c r="H40" s="1573">
        <v>0</v>
      </c>
      <c r="I40" s="1574">
        <v>0</v>
      </c>
      <c r="J40" s="1574">
        <v>0</v>
      </c>
      <c r="K40" s="1672">
        <f t="shared" si="2"/>
        <v>8113</v>
      </c>
      <c r="L40" s="1573">
        <v>18250</v>
      </c>
    </row>
    <row r="41" spans="1:14" x14ac:dyDescent="0.2">
      <c r="A41" s="1274" t="s">
        <v>1650</v>
      </c>
      <c r="B41" s="503">
        <v>2190</v>
      </c>
      <c r="C41" s="1573">
        <v>11508</v>
      </c>
      <c r="D41" s="1573">
        <v>207</v>
      </c>
      <c r="E41" s="1573">
        <v>2746</v>
      </c>
      <c r="F41" s="1573">
        <v>1511</v>
      </c>
      <c r="G41" s="1573">
        <v>0</v>
      </c>
      <c r="H41" s="1573">
        <v>0</v>
      </c>
      <c r="I41" s="1574">
        <v>0</v>
      </c>
      <c r="J41" s="1574">
        <v>0</v>
      </c>
      <c r="K41" s="1672">
        <f t="shared" si="2"/>
        <v>15972</v>
      </c>
      <c r="L41" s="1573">
        <v>42140</v>
      </c>
    </row>
    <row r="42" spans="1:14" ht="12.75" customHeight="1" thickBot="1" x14ac:dyDescent="0.25">
      <c r="A42" s="1380" t="s">
        <v>556</v>
      </c>
      <c r="B42" s="1381" t="s">
        <v>711</v>
      </c>
      <c r="C42" s="1674">
        <f>SUM(C36:C41)</f>
        <v>377877</v>
      </c>
      <c r="D42" s="1674">
        <f t="shared" ref="D42:L42" si="3">SUM(D36:D41)</f>
        <v>65341</v>
      </c>
      <c r="E42" s="1674">
        <f t="shared" si="3"/>
        <v>14343</v>
      </c>
      <c r="F42" s="1674">
        <f t="shared" si="3"/>
        <v>2459</v>
      </c>
      <c r="G42" s="1674">
        <f t="shared" si="3"/>
        <v>155</v>
      </c>
      <c r="H42" s="1674">
        <f t="shared" si="3"/>
        <v>0</v>
      </c>
      <c r="I42" s="1674">
        <f t="shared" si="3"/>
        <v>0</v>
      </c>
      <c r="J42" s="1674">
        <f t="shared" si="3"/>
        <v>0</v>
      </c>
      <c r="K42" s="1674">
        <f t="shared" si="3"/>
        <v>460175</v>
      </c>
      <c r="L42" s="1674">
        <f t="shared" si="3"/>
        <v>512771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3964</v>
      </c>
      <c r="D44" s="1586">
        <v>75</v>
      </c>
      <c r="E44" s="1586">
        <v>9123</v>
      </c>
      <c r="F44" s="1586">
        <v>89</v>
      </c>
      <c r="G44" s="1586">
        <v>0</v>
      </c>
      <c r="H44" s="1586">
        <v>0</v>
      </c>
      <c r="I44" s="1574">
        <v>0</v>
      </c>
      <c r="J44" s="1574">
        <v>0</v>
      </c>
      <c r="K44" s="1678">
        <f>SUM(C44:J44)</f>
        <v>13251</v>
      </c>
      <c r="L44" s="1586">
        <v>21827</v>
      </c>
    </row>
    <row r="45" spans="1:14" x14ac:dyDescent="0.2">
      <c r="A45" s="1274" t="s">
        <v>810</v>
      </c>
      <c r="B45" s="503">
        <v>2220</v>
      </c>
      <c r="C45" s="1573">
        <v>38719</v>
      </c>
      <c r="D45" s="1573">
        <v>0</v>
      </c>
      <c r="E45" s="1573">
        <v>0</v>
      </c>
      <c r="F45" s="1573">
        <v>11895</v>
      </c>
      <c r="G45" s="1573">
        <v>0</v>
      </c>
      <c r="H45" s="1573">
        <v>0</v>
      </c>
      <c r="I45" s="1574">
        <v>0</v>
      </c>
      <c r="J45" s="1574">
        <v>0</v>
      </c>
      <c r="K45" s="1678">
        <f>SUM(C45:J45)</f>
        <v>50614</v>
      </c>
      <c r="L45" s="1573">
        <v>52820</v>
      </c>
    </row>
    <row r="46" spans="1:14" x14ac:dyDescent="0.2">
      <c r="A46" s="1274" t="s">
        <v>811</v>
      </c>
      <c r="B46" s="503">
        <v>2230</v>
      </c>
      <c r="C46" s="1573">
        <v>375</v>
      </c>
      <c r="D46" s="1573">
        <v>5</v>
      </c>
      <c r="E46" s="1573">
        <v>169</v>
      </c>
      <c r="F46" s="1573">
        <v>3724</v>
      </c>
      <c r="G46" s="1573">
        <v>0</v>
      </c>
      <c r="H46" s="1573">
        <v>0</v>
      </c>
      <c r="I46" s="1574">
        <v>0</v>
      </c>
      <c r="J46" s="1574">
        <v>0</v>
      </c>
      <c r="K46" s="1678">
        <f>SUM(C46:J46)</f>
        <v>4273</v>
      </c>
      <c r="L46" s="1573">
        <v>8150</v>
      </c>
    </row>
    <row r="47" spans="1:14" ht="12.75" customHeight="1" thickBot="1" x14ac:dyDescent="0.25">
      <c r="A47" s="1380" t="s">
        <v>557</v>
      </c>
      <c r="B47" s="1381" t="s">
        <v>32</v>
      </c>
      <c r="C47" s="1674">
        <f>SUM(C44:C46)</f>
        <v>43058</v>
      </c>
      <c r="D47" s="1674">
        <f t="shared" ref="D47:K47" si="4">SUM(D44:D46)</f>
        <v>80</v>
      </c>
      <c r="E47" s="1674">
        <f t="shared" si="4"/>
        <v>9292</v>
      </c>
      <c r="F47" s="1674">
        <f t="shared" si="4"/>
        <v>15708</v>
      </c>
      <c r="G47" s="1674">
        <f t="shared" si="4"/>
        <v>0</v>
      </c>
      <c r="H47" s="1674">
        <f t="shared" si="4"/>
        <v>0</v>
      </c>
      <c r="I47" s="1674">
        <f t="shared" si="4"/>
        <v>0</v>
      </c>
      <c r="J47" s="1674">
        <f t="shared" si="4"/>
        <v>0</v>
      </c>
      <c r="K47" s="1674">
        <f t="shared" si="4"/>
        <v>68138</v>
      </c>
      <c r="L47" s="1674">
        <f>SUM(L44:L46)</f>
        <v>82797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2499</v>
      </c>
      <c r="D49" s="1586">
        <v>0</v>
      </c>
      <c r="E49" s="1586">
        <v>46624</v>
      </c>
      <c r="F49" s="1586">
        <v>0</v>
      </c>
      <c r="G49" s="1586">
        <v>0</v>
      </c>
      <c r="H49" s="1586">
        <v>14617</v>
      </c>
      <c r="I49" s="1574">
        <v>0</v>
      </c>
      <c r="J49" s="1574">
        <v>0</v>
      </c>
      <c r="K49" s="1678">
        <f>SUM(C49:J49)</f>
        <v>63740</v>
      </c>
      <c r="L49" s="1586">
        <v>81948</v>
      </c>
    </row>
    <row r="50" spans="1:14" x14ac:dyDescent="0.2">
      <c r="A50" s="1274" t="s">
        <v>813</v>
      </c>
      <c r="B50" s="503">
        <v>2320</v>
      </c>
      <c r="C50" s="1574">
        <v>171513</v>
      </c>
      <c r="D50" s="1573">
        <v>30769</v>
      </c>
      <c r="E50" s="1573">
        <v>479</v>
      </c>
      <c r="F50" s="1573">
        <v>70</v>
      </c>
      <c r="G50" s="1573">
        <v>0</v>
      </c>
      <c r="H50" s="1573">
        <v>1253</v>
      </c>
      <c r="I50" s="1574">
        <v>0</v>
      </c>
      <c r="J50" s="1574">
        <v>0</v>
      </c>
      <c r="K50" s="1678">
        <f>SUM(C50:J50)</f>
        <v>204084</v>
      </c>
      <c r="L50" s="1573">
        <v>207215</v>
      </c>
    </row>
    <row r="51" spans="1:14" x14ac:dyDescent="0.2">
      <c r="A51" s="1274" t="s">
        <v>42</v>
      </c>
      <c r="B51" s="503">
        <v>2330</v>
      </c>
      <c r="C51" s="1573">
        <v>4000</v>
      </c>
      <c r="D51" s="1573">
        <v>0</v>
      </c>
      <c r="E51" s="1573">
        <v>0</v>
      </c>
      <c r="F51" s="1573">
        <v>0</v>
      </c>
      <c r="G51" s="1573">
        <v>0</v>
      </c>
      <c r="H51" s="1573">
        <v>0</v>
      </c>
      <c r="I51" s="1574">
        <v>0</v>
      </c>
      <c r="J51" s="1574">
        <v>0</v>
      </c>
      <c r="K51" s="1678">
        <f>SUM(C51:J51)</f>
        <v>4000</v>
      </c>
      <c r="L51" s="1573">
        <v>4000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178012</v>
      </c>
      <c r="D53" s="1674">
        <f t="shared" ref="D53:L53" si="5">SUM(D49:D52)</f>
        <v>30769</v>
      </c>
      <c r="E53" s="1674">
        <f t="shared" si="5"/>
        <v>47103</v>
      </c>
      <c r="F53" s="1674">
        <f t="shared" si="5"/>
        <v>70</v>
      </c>
      <c r="G53" s="1674">
        <f t="shared" si="5"/>
        <v>0</v>
      </c>
      <c r="H53" s="1674">
        <f t="shared" si="5"/>
        <v>15870</v>
      </c>
      <c r="I53" s="1674">
        <f t="shared" si="5"/>
        <v>0</v>
      </c>
      <c r="J53" s="1674">
        <f t="shared" si="5"/>
        <v>0</v>
      </c>
      <c r="K53" s="1674">
        <f t="shared" si="5"/>
        <v>271824</v>
      </c>
      <c r="L53" s="1674">
        <f t="shared" si="5"/>
        <v>293163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265704</v>
      </c>
      <c r="D55" s="1586">
        <v>55166</v>
      </c>
      <c r="E55" s="1586">
        <v>1601</v>
      </c>
      <c r="F55" s="1586">
        <v>9992</v>
      </c>
      <c r="G55" s="1586">
        <v>0</v>
      </c>
      <c r="H55" s="1586">
        <v>2762</v>
      </c>
      <c r="I55" s="1574">
        <v>0</v>
      </c>
      <c r="J55" s="1574">
        <v>0</v>
      </c>
      <c r="K55" s="1678">
        <f>SUM(C55:J55)</f>
        <v>335225</v>
      </c>
      <c r="L55" s="1586">
        <v>345143</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265704</v>
      </c>
      <c r="D57" s="1679">
        <f t="shared" ref="D57:K57" si="6">SUM(D55:D56)</f>
        <v>55166</v>
      </c>
      <c r="E57" s="1679">
        <f t="shared" si="6"/>
        <v>1601</v>
      </c>
      <c r="F57" s="1679">
        <f t="shared" si="6"/>
        <v>9992</v>
      </c>
      <c r="G57" s="1679">
        <f t="shared" si="6"/>
        <v>0</v>
      </c>
      <c r="H57" s="1679">
        <f t="shared" si="6"/>
        <v>2762</v>
      </c>
      <c r="I57" s="1679">
        <f t="shared" si="6"/>
        <v>0</v>
      </c>
      <c r="J57" s="1679">
        <f t="shared" si="6"/>
        <v>0</v>
      </c>
      <c r="K57" s="1679">
        <f t="shared" si="6"/>
        <v>335225</v>
      </c>
      <c r="L57" s="1674">
        <f>SUM(L55:L56)</f>
        <v>345143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71652</v>
      </c>
      <c r="D60" s="1573">
        <v>12343</v>
      </c>
      <c r="E60" s="1573">
        <v>5325</v>
      </c>
      <c r="F60" s="1573">
        <v>875</v>
      </c>
      <c r="G60" s="1573">
        <v>0</v>
      </c>
      <c r="H60" s="1573">
        <v>0</v>
      </c>
      <c r="I60" s="1574">
        <v>0</v>
      </c>
      <c r="J60" s="1574">
        <v>0</v>
      </c>
      <c r="K60" s="1678">
        <f t="shared" si="7"/>
        <v>90195</v>
      </c>
      <c r="L60" s="1573">
        <v>95130</v>
      </c>
      <c r="M60" s="501"/>
      <c r="N60" s="501"/>
    </row>
    <row r="61" spans="1:14" s="321" customFormat="1" x14ac:dyDescent="0.2">
      <c r="A61" s="1274" t="s">
        <v>195</v>
      </c>
      <c r="B61" s="503">
        <v>2540</v>
      </c>
      <c r="C61" s="1573">
        <v>0</v>
      </c>
      <c r="D61" s="1573">
        <v>0</v>
      </c>
      <c r="E61" s="1573">
        <v>114076</v>
      </c>
      <c r="F61" s="1573">
        <v>2679</v>
      </c>
      <c r="G61" s="1573">
        <v>0</v>
      </c>
      <c r="H61" s="1573">
        <v>0</v>
      </c>
      <c r="I61" s="1574">
        <v>0</v>
      </c>
      <c r="J61" s="1574">
        <v>0</v>
      </c>
      <c r="K61" s="1678">
        <f t="shared" si="7"/>
        <v>116755</v>
      </c>
      <c r="L61" s="1573">
        <v>112540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118284</v>
      </c>
      <c r="D63" s="1573">
        <v>19518</v>
      </c>
      <c r="E63" s="1573">
        <v>2361</v>
      </c>
      <c r="F63" s="1573">
        <v>167918</v>
      </c>
      <c r="G63" s="1573">
        <v>0</v>
      </c>
      <c r="H63" s="1573">
        <v>0</v>
      </c>
      <c r="I63" s="1574">
        <v>0</v>
      </c>
      <c r="J63" s="1574">
        <v>0</v>
      </c>
      <c r="K63" s="1678">
        <f t="shared" si="7"/>
        <v>308081</v>
      </c>
      <c r="L63" s="1573">
        <v>360290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189936</v>
      </c>
      <c r="D65" s="1674">
        <f t="shared" ref="D65:L65" si="8">SUM(D59:D64)</f>
        <v>31861</v>
      </c>
      <c r="E65" s="1674">
        <f t="shared" si="8"/>
        <v>121762</v>
      </c>
      <c r="F65" s="1674">
        <f t="shared" si="8"/>
        <v>171472</v>
      </c>
      <c r="G65" s="1674">
        <f t="shared" si="8"/>
        <v>0</v>
      </c>
      <c r="H65" s="1674">
        <f t="shared" si="8"/>
        <v>0</v>
      </c>
      <c r="I65" s="1674">
        <f t="shared" si="8"/>
        <v>0</v>
      </c>
      <c r="J65" s="1674">
        <f t="shared" si="8"/>
        <v>0</v>
      </c>
      <c r="K65" s="1674">
        <f t="shared" si="8"/>
        <v>515031</v>
      </c>
      <c r="L65" s="1674">
        <f t="shared" si="8"/>
        <v>567960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4127</v>
      </c>
      <c r="F68" s="1573">
        <v>0</v>
      </c>
      <c r="G68" s="1573">
        <v>0</v>
      </c>
      <c r="H68" s="1573">
        <v>0</v>
      </c>
      <c r="I68" s="1574">
        <v>0</v>
      </c>
      <c r="J68" s="1574">
        <v>0</v>
      </c>
      <c r="K68" s="1678">
        <f>SUM(C68:J68)</f>
        <v>4127</v>
      </c>
      <c r="L68" s="1573">
        <v>5000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1286</v>
      </c>
      <c r="F70" s="1573">
        <v>0</v>
      </c>
      <c r="G70" s="1573">
        <v>0</v>
      </c>
      <c r="H70" s="1573">
        <v>0</v>
      </c>
      <c r="I70" s="1574">
        <v>0</v>
      </c>
      <c r="J70" s="1574">
        <v>0</v>
      </c>
      <c r="K70" s="1678">
        <f>SUM(C70:J70)</f>
        <v>1286</v>
      </c>
      <c r="L70" s="1573">
        <v>2832</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5413</v>
      </c>
      <c r="F72" s="1674">
        <f t="shared" si="9"/>
        <v>0</v>
      </c>
      <c r="G72" s="1674">
        <f t="shared" si="9"/>
        <v>0</v>
      </c>
      <c r="H72" s="1674">
        <f t="shared" si="9"/>
        <v>0</v>
      </c>
      <c r="I72" s="1674">
        <f t="shared" si="9"/>
        <v>0</v>
      </c>
      <c r="J72" s="1674">
        <f t="shared" si="9"/>
        <v>0</v>
      </c>
      <c r="K72" s="1674">
        <f t="shared" si="9"/>
        <v>5413</v>
      </c>
      <c r="L72" s="1674">
        <f>SUM(L67:L71)</f>
        <v>7832</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1054587</v>
      </c>
      <c r="D74" s="1681">
        <f t="shared" ref="D74:K74" si="10">SUM(D42,D47,D53,D57,D65,D72,D73)</f>
        <v>183217</v>
      </c>
      <c r="E74" s="1681">
        <f t="shared" si="10"/>
        <v>199514</v>
      </c>
      <c r="F74" s="1681">
        <f t="shared" si="10"/>
        <v>199701</v>
      </c>
      <c r="G74" s="1681">
        <f t="shared" si="10"/>
        <v>155</v>
      </c>
      <c r="H74" s="1681">
        <f t="shared" si="10"/>
        <v>18632</v>
      </c>
      <c r="I74" s="1681">
        <f t="shared" si="10"/>
        <v>0</v>
      </c>
      <c r="J74" s="1681">
        <f t="shared" si="10"/>
        <v>0</v>
      </c>
      <c r="K74" s="1681">
        <f t="shared" si="10"/>
        <v>1655806</v>
      </c>
      <c r="L74" s="1681">
        <f>SUM(L42,L47,L53,L57,L65,L72,L73)</f>
        <v>1809666</v>
      </c>
    </row>
    <row r="75" spans="1:14" s="254" customFormat="1" ht="15.75" customHeight="1" thickTop="1" thickBot="1" x14ac:dyDescent="0.25">
      <c r="A75" s="1348" t="s">
        <v>47</v>
      </c>
      <c r="B75" s="1349" t="s">
        <v>571</v>
      </c>
      <c r="C75" s="1649">
        <v>0</v>
      </c>
      <c r="D75" s="1649">
        <v>0</v>
      </c>
      <c r="E75" s="1649">
        <v>500</v>
      </c>
      <c r="F75" s="1649">
        <v>1668</v>
      </c>
      <c r="G75" s="1649">
        <v>0</v>
      </c>
      <c r="H75" s="1649">
        <v>3640</v>
      </c>
      <c r="I75" s="1627">
        <v>0</v>
      </c>
      <c r="J75" s="1627">
        <v>0</v>
      </c>
      <c r="K75" s="1674">
        <f>SUM(C75:J75)</f>
        <v>5808</v>
      </c>
      <c r="L75" s="1651">
        <v>7750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26899</v>
      </c>
      <c r="I78" s="1582"/>
      <c r="J78" s="1582"/>
      <c r="K78" s="1672">
        <f t="shared" ref="K78:K83" si="11">SUM(C78:J78)</f>
        <v>26899</v>
      </c>
      <c r="L78" s="1586">
        <v>29000</v>
      </c>
    </row>
    <row r="79" spans="1:14" x14ac:dyDescent="0.2">
      <c r="A79" s="1274" t="s">
        <v>301</v>
      </c>
      <c r="B79" s="503">
        <v>4120</v>
      </c>
      <c r="C79" s="1673"/>
      <c r="D79" s="1673"/>
      <c r="E79" s="1573">
        <v>38693</v>
      </c>
      <c r="F79" s="1673"/>
      <c r="G79" s="1673"/>
      <c r="H79" s="1573">
        <v>42494</v>
      </c>
      <c r="I79" s="1582"/>
      <c r="J79" s="1582"/>
      <c r="K79" s="1672">
        <f t="shared" si="11"/>
        <v>81187</v>
      </c>
      <c r="L79" s="1573">
        <v>94739</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1946</v>
      </c>
      <c r="I81" s="1582"/>
      <c r="J81" s="1582"/>
      <c r="K81" s="1672">
        <f t="shared" si="11"/>
        <v>1946</v>
      </c>
      <c r="L81" s="1573">
        <v>1950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38693</v>
      </c>
      <c r="F84" s="1673"/>
      <c r="G84" s="1673"/>
      <c r="H84" s="1674">
        <f>SUM(H78:H83)</f>
        <v>71339</v>
      </c>
      <c r="I84" s="1582"/>
      <c r="J84" s="1582"/>
      <c r="K84" s="1674">
        <f>SUM(K78:K83)</f>
        <v>110032</v>
      </c>
      <c r="L84" s="1674">
        <f>SUM(L78:L83)</f>
        <v>125689</v>
      </c>
    </row>
    <row r="85" spans="1:12" ht="12.75" customHeight="1" thickTop="1" thickBot="1" x14ac:dyDescent="0.25">
      <c r="A85" s="1281" t="s">
        <v>253</v>
      </c>
      <c r="B85" s="517">
        <v>4210</v>
      </c>
      <c r="C85" s="1673"/>
      <c r="D85" s="1673"/>
      <c r="E85" s="1683"/>
      <c r="F85" s="1673"/>
      <c r="G85" s="1673"/>
      <c r="H85" s="1630">
        <v>0</v>
      </c>
      <c r="I85" s="1582"/>
      <c r="J85" s="1582"/>
      <c r="K85" s="1681">
        <f>H85</f>
        <v>0</v>
      </c>
      <c r="L85" s="1626">
        <v>2500</v>
      </c>
    </row>
    <row r="86" spans="1:12" ht="12.75" customHeight="1" thickTop="1" thickBot="1" x14ac:dyDescent="0.25">
      <c r="A86" s="1282" t="s">
        <v>694</v>
      </c>
      <c r="B86" s="518">
        <v>4220</v>
      </c>
      <c r="C86" s="1673"/>
      <c r="D86" s="1673"/>
      <c r="E86" s="1684"/>
      <c r="F86" s="1673"/>
      <c r="G86" s="1673"/>
      <c r="H86" s="1574">
        <v>13960</v>
      </c>
      <c r="I86" s="1582"/>
      <c r="J86" s="1582"/>
      <c r="K86" s="1681">
        <f t="shared" ref="K86:K98" si="12">H86</f>
        <v>13960</v>
      </c>
      <c r="L86" s="1626">
        <v>25375</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33750</v>
      </c>
      <c r="I88" s="1582"/>
      <c r="J88" s="1582"/>
      <c r="K88" s="1681">
        <f t="shared" si="12"/>
        <v>33750</v>
      </c>
      <c r="L88" s="1626">
        <v>40500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47710</v>
      </c>
      <c r="I92" s="1582"/>
      <c r="J92" s="1582"/>
      <c r="K92" s="1681">
        <f t="shared" si="12"/>
        <v>47710</v>
      </c>
      <c r="L92" s="1674">
        <f>SUM(L85:L91)</f>
        <v>68375</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38693</v>
      </c>
      <c r="F102" s="1673"/>
      <c r="G102" s="1673"/>
      <c r="H102" s="1681">
        <f>SUM(H84,H92,H100,H101)</f>
        <v>119049</v>
      </c>
      <c r="I102" s="1582"/>
      <c r="J102" s="1582"/>
      <c r="K102" s="1681">
        <f>SUM(K84,K92,K100,K101)</f>
        <v>157742</v>
      </c>
      <c r="L102" s="1681">
        <f>SUM(L84,L92,L100,L101)</f>
        <v>194064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4414426</v>
      </c>
      <c r="D114" s="1674">
        <f t="shared" ref="D114:K114" si="13">SUM(D33,D74,D75,D102,D112,D113)</f>
        <v>556849</v>
      </c>
      <c r="E114" s="1674">
        <f t="shared" si="13"/>
        <v>327253</v>
      </c>
      <c r="F114" s="1674">
        <f t="shared" si="13"/>
        <v>292965</v>
      </c>
      <c r="G114" s="1674">
        <f t="shared" si="13"/>
        <v>36904</v>
      </c>
      <c r="H114" s="1674">
        <f>SUM(H33,H74,H75,H102,H112,H113)</f>
        <v>456155</v>
      </c>
      <c r="I114" s="1674">
        <f t="shared" si="13"/>
        <v>0</v>
      </c>
      <c r="J114" s="1674">
        <f t="shared" si="13"/>
        <v>0</v>
      </c>
      <c r="K114" s="1674">
        <f t="shared" si="13"/>
        <v>6084552</v>
      </c>
      <c r="L114" s="1674">
        <f>SUM(L33,L74,L75,L102,L112,L113)</f>
        <v>6411974</v>
      </c>
    </row>
    <row r="115" spans="1:14" ht="13.5" thickTop="1" x14ac:dyDescent="0.2">
      <c r="A115" s="2328" t="s">
        <v>989</v>
      </c>
      <c r="B115" s="2329"/>
      <c r="C115" s="1675"/>
      <c r="D115" s="1675"/>
      <c r="E115" s="1675"/>
      <c r="F115" s="1675"/>
      <c r="G115" s="1675"/>
      <c r="H115" s="1675"/>
      <c r="I115" s="1675"/>
      <c r="J115" s="1675"/>
      <c r="K115" s="1689">
        <f>'Revenues 9-14'!C268-'Expenditures 15-22'!K114</f>
        <v>277617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33" t="s">
        <v>293</v>
      </c>
      <c r="B117" s="233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244988</v>
      </c>
      <c r="D124" s="1573">
        <v>45718</v>
      </c>
      <c r="E124" s="1573">
        <v>135114</v>
      </c>
      <c r="F124" s="1573">
        <v>186713</v>
      </c>
      <c r="G124" s="1573">
        <v>70512</v>
      </c>
      <c r="H124" s="1573">
        <v>507</v>
      </c>
      <c r="I124" s="1574">
        <v>0</v>
      </c>
      <c r="J124" s="1574">
        <v>0</v>
      </c>
      <c r="K124" s="1674">
        <f>SUM(C124:J124)</f>
        <v>683552</v>
      </c>
      <c r="L124" s="1573">
        <v>870887</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244988</v>
      </c>
      <c r="D127" s="1674">
        <f t="shared" ref="D127:L127" si="14">SUM(D122:D126)</f>
        <v>45718</v>
      </c>
      <c r="E127" s="1674">
        <f t="shared" si="14"/>
        <v>135114</v>
      </c>
      <c r="F127" s="1674">
        <f t="shared" si="14"/>
        <v>186713</v>
      </c>
      <c r="G127" s="1674">
        <f t="shared" si="14"/>
        <v>70512</v>
      </c>
      <c r="H127" s="1674">
        <f t="shared" si="14"/>
        <v>507</v>
      </c>
      <c r="I127" s="1674">
        <f t="shared" si="14"/>
        <v>0</v>
      </c>
      <c r="J127" s="1674">
        <f t="shared" si="14"/>
        <v>0</v>
      </c>
      <c r="K127" s="1674">
        <f t="shared" si="14"/>
        <v>683552</v>
      </c>
      <c r="L127" s="1674">
        <f t="shared" si="14"/>
        <v>870887</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244988</v>
      </c>
      <c r="D129" s="1681">
        <f t="shared" ref="D129:L129" si="15">SUM(D120,D127,D128)</f>
        <v>45718</v>
      </c>
      <c r="E129" s="1681">
        <f t="shared" si="15"/>
        <v>135114</v>
      </c>
      <c r="F129" s="1681">
        <f t="shared" si="15"/>
        <v>186713</v>
      </c>
      <c r="G129" s="1681">
        <f t="shared" si="15"/>
        <v>70512</v>
      </c>
      <c r="H129" s="1681">
        <f t="shared" si="15"/>
        <v>507</v>
      </c>
      <c r="I129" s="1681">
        <f t="shared" si="15"/>
        <v>0</v>
      </c>
      <c r="J129" s="1681">
        <f t="shared" si="15"/>
        <v>0</v>
      </c>
      <c r="K129" s="1681">
        <f t="shared" si="15"/>
        <v>683552</v>
      </c>
      <c r="L129" s="1681">
        <f t="shared" si="15"/>
        <v>870887</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20000</v>
      </c>
    </row>
    <row r="151" spans="1:14" ht="12.75" customHeight="1" thickTop="1" thickBot="1" x14ac:dyDescent="0.25">
      <c r="A151" s="2345" t="s">
        <v>616</v>
      </c>
      <c r="B151" s="2325"/>
      <c r="C151" s="1674">
        <f>SUM(C129,C130,C139,C149,C150)</f>
        <v>244988</v>
      </c>
      <c r="D151" s="1674">
        <f t="shared" ref="D151:K151" si="16">SUM(D129,D130,D139,D149,D150)</f>
        <v>45718</v>
      </c>
      <c r="E151" s="1674">
        <f t="shared" si="16"/>
        <v>135114</v>
      </c>
      <c r="F151" s="1674">
        <f t="shared" si="16"/>
        <v>186713</v>
      </c>
      <c r="G151" s="1674">
        <f t="shared" si="16"/>
        <v>70512</v>
      </c>
      <c r="H151" s="1674">
        <f t="shared" si="16"/>
        <v>507</v>
      </c>
      <c r="I151" s="1674">
        <f t="shared" si="16"/>
        <v>0</v>
      </c>
      <c r="J151" s="1674">
        <f t="shared" si="16"/>
        <v>0</v>
      </c>
      <c r="K151" s="1674">
        <f t="shared" si="16"/>
        <v>683552</v>
      </c>
      <c r="L151" s="1674">
        <f>SUM(L129,L130,L139,L149,L150)</f>
        <v>890887</v>
      </c>
    </row>
    <row r="152" spans="1:14" ht="12.75" customHeight="1" thickTop="1" x14ac:dyDescent="0.2">
      <c r="A152" s="2348" t="s">
        <v>1168</v>
      </c>
      <c r="B152" s="2349"/>
      <c r="C152" s="1675"/>
      <c r="D152" s="1675"/>
      <c r="E152" s="1675"/>
      <c r="F152" s="1675"/>
      <c r="G152" s="1675"/>
      <c r="H152" s="1675"/>
      <c r="I152" s="1675"/>
      <c r="J152" s="1673"/>
      <c r="K152" s="1689">
        <f>'Revenues 9-14'!D268-'Expenditures 15-22'!K151</f>
        <v>265416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33" t="s">
        <v>617</v>
      </c>
      <c r="B154" s="233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63015</v>
      </c>
      <c r="I169" s="1673"/>
      <c r="J169" s="1673"/>
      <c r="K169" s="1672">
        <f>SUM(C169:H169)</f>
        <v>63015</v>
      </c>
      <c r="L169" s="1695">
        <v>33975</v>
      </c>
    </row>
    <row r="170" spans="1:14" ht="33.75" customHeight="1" x14ac:dyDescent="0.2">
      <c r="A170" s="543" t="s">
        <v>1651</v>
      </c>
      <c r="B170" s="545" t="s">
        <v>31</v>
      </c>
      <c r="C170" s="1673"/>
      <c r="D170" s="1673"/>
      <c r="E170" s="1673"/>
      <c r="F170" s="1673"/>
      <c r="G170" s="1673"/>
      <c r="H170" s="1646">
        <v>955000</v>
      </c>
      <c r="I170" s="1673"/>
      <c r="J170" s="1673"/>
      <c r="K170" s="1672">
        <f>SUM(C170:J170)</f>
        <v>955000</v>
      </c>
      <c r="L170" s="1646">
        <v>955000</v>
      </c>
    </row>
    <row r="171" spans="1:14" ht="15.75" customHeight="1" x14ac:dyDescent="0.2">
      <c r="A171" s="507" t="s">
        <v>761</v>
      </c>
      <c r="B171" s="546" t="s">
        <v>84</v>
      </c>
      <c r="C171" s="1673"/>
      <c r="D171" s="1673"/>
      <c r="E171" s="1573">
        <v>0</v>
      </c>
      <c r="F171" s="1673"/>
      <c r="G171" s="1673"/>
      <c r="H171" s="1646">
        <v>475</v>
      </c>
      <c r="I171" s="1582"/>
      <c r="J171" s="1673"/>
      <c r="K171" s="1672">
        <f>SUM(C171:J171)</f>
        <v>475</v>
      </c>
      <c r="L171" s="1646">
        <v>4900</v>
      </c>
    </row>
    <row r="172" spans="1:14" ht="12.75" customHeight="1" thickBot="1" x14ac:dyDescent="0.25">
      <c r="A172" s="1380" t="s">
        <v>633</v>
      </c>
      <c r="B172" s="1381" t="s">
        <v>489</v>
      </c>
      <c r="C172" s="1673"/>
      <c r="D172" s="1673"/>
      <c r="E172" s="1681">
        <f>SUM(E168,E169,E170,E171)</f>
        <v>0</v>
      </c>
      <c r="F172" s="1673"/>
      <c r="G172" s="1673"/>
      <c r="H172" s="1681">
        <f>SUM(H168,H169,H170,H171)</f>
        <v>1018490</v>
      </c>
      <c r="I172" s="1684"/>
      <c r="J172" s="1673"/>
      <c r="K172" s="1681">
        <f>SUM(K168,K169,K170,K171)</f>
        <v>1018490</v>
      </c>
      <c r="L172" s="1681">
        <f>SUM(L168,L169,L170,L171)</f>
        <v>993875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1018490</v>
      </c>
      <c r="I174" s="1684"/>
      <c r="J174" s="1673"/>
      <c r="K174" s="1681">
        <f>SUM(K160,K172,K173)</f>
        <v>1018490</v>
      </c>
      <c r="L174" s="1681">
        <f>SUM(L160,L172,L173)</f>
        <v>993875</v>
      </c>
    </row>
    <row r="175" spans="1:14" ht="13.5" thickTop="1" x14ac:dyDescent="0.2">
      <c r="A175" s="2328" t="s">
        <v>989</v>
      </c>
      <c r="B175" s="2329"/>
      <c r="C175" s="1673"/>
      <c r="D175" s="1673"/>
      <c r="E175" s="1673"/>
      <c r="F175" s="1673"/>
      <c r="G175" s="1673"/>
      <c r="H175" s="1675"/>
      <c r="I175" s="1673"/>
      <c r="J175" s="1673"/>
      <c r="K175" s="1689">
        <f>'Revenues 9-14'!E268-'Expenditures 15-22'!K174</f>
        <v>-248536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563858</v>
      </c>
      <c r="D182" s="1573">
        <v>11571</v>
      </c>
      <c r="E182" s="1573">
        <v>54234</v>
      </c>
      <c r="F182" s="1573">
        <v>154800</v>
      </c>
      <c r="G182" s="1573">
        <v>148043</v>
      </c>
      <c r="H182" s="1573">
        <v>0</v>
      </c>
      <c r="I182" s="1574">
        <v>0</v>
      </c>
      <c r="J182" s="1574">
        <v>0</v>
      </c>
      <c r="K182" s="1672">
        <f>SUM(C182:J182)</f>
        <v>932506</v>
      </c>
      <c r="L182" s="1573">
        <v>981283</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563858</v>
      </c>
      <c r="D184" s="1681">
        <f t="shared" ref="D184:J184" si="17">SUM(D180,D182,D183)</f>
        <v>11571</v>
      </c>
      <c r="E184" s="1681">
        <f t="shared" si="17"/>
        <v>54234</v>
      </c>
      <c r="F184" s="1681">
        <f t="shared" si="17"/>
        <v>154800</v>
      </c>
      <c r="G184" s="1681">
        <f t="shared" si="17"/>
        <v>148043</v>
      </c>
      <c r="H184" s="1681">
        <f t="shared" si="17"/>
        <v>0</v>
      </c>
      <c r="I184" s="1681">
        <f t="shared" si="17"/>
        <v>0</v>
      </c>
      <c r="J184" s="1681">
        <f t="shared" si="17"/>
        <v>0</v>
      </c>
      <c r="K184" s="1681">
        <f>SUM(K180,K182,K183)</f>
        <v>932506</v>
      </c>
      <c r="L184" s="1681">
        <f>SUM(L180, L182:L183)</f>
        <v>981283</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10000</v>
      </c>
    </row>
    <row r="210" spans="1:14" ht="12.75" customHeight="1" thickTop="1" thickBot="1" x14ac:dyDescent="0.25">
      <c r="A210" s="1394" t="s">
        <v>275</v>
      </c>
      <c r="B210" s="1395"/>
      <c r="C210" s="1674">
        <f>SUM(C184,C185)</f>
        <v>563858</v>
      </c>
      <c r="D210" s="1674">
        <f>SUM(D184,D185)</f>
        <v>11571</v>
      </c>
      <c r="E210" s="1674">
        <f>SUM(E184,E185,E196)</f>
        <v>54234</v>
      </c>
      <c r="F210" s="1674">
        <f>SUM(F184,F185)</f>
        <v>154800</v>
      </c>
      <c r="G210" s="1674">
        <f>SUM(G184,G185)</f>
        <v>148043</v>
      </c>
      <c r="H210" s="1674">
        <f>SUM(H184,H185,H196,H208,H209)</f>
        <v>0</v>
      </c>
      <c r="I210" s="1674">
        <f>SUM(I184,I185)</f>
        <v>0</v>
      </c>
      <c r="J210" s="1674">
        <f>SUM(J184,J185)</f>
        <v>0</v>
      </c>
      <c r="K210" s="1672">
        <f>SUM(K184,K185,K196,K208,K209)</f>
        <v>932506</v>
      </c>
      <c r="L210" s="1674">
        <f>SUM(L184,L185,L196,L208,L209)</f>
        <v>991283</v>
      </c>
    </row>
    <row r="211" spans="1:14" ht="13.5" thickTop="1" x14ac:dyDescent="0.2">
      <c r="A211" s="2328" t="s">
        <v>989</v>
      </c>
      <c r="B211" s="2329"/>
      <c r="C211" s="1675"/>
      <c r="D211" s="1675"/>
      <c r="E211" s="1675"/>
      <c r="F211" s="1675"/>
      <c r="G211" s="1675"/>
      <c r="H211" s="1675"/>
      <c r="I211" s="1673"/>
      <c r="J211" s="1673"/>
      <c r="K211" s="1689">
        <f>'Revenues 9-14'!F268-'Expenditures 15-22'!K210</f>
        <v>-22751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50" t="s">
        <v>959</v>
      </c>
      <c r="B213" s="235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33883</v>
      </c>
      <c r="E215" s="1673"/>
      <c r="F215" s="1673"/>
      <c r="G215" s="1673"/>
      <c r="H215" s="1673"/>
      <c r="I215" s="1673"/>
      <c r="J215" s="1673"/>
      <c r="K215" s="1672">
        <f>D215</f>
        <v>33883</v>
      </c>
      <c r="L215" s="1573">
        <v>34620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22696</v>
      </c>
      <c r="E217" s="1673"/>
      <c r="F217" s="1673"/>
      <c r="G217" s="1673"/>
      <c r="H217" s="1673"/>
      <c r="I217" s="1673"/>
      <c r="J217" s="1673"/>
      <c r="K217" s="1672">
        <f t="shared" si="19"/>
        <v>22696</v>
      </c>
      <c r="L217" s="1573">
        <v>25822</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3464</v>
      </c>
      <c r="E219" s="1673"/>
      <c r="F219" s="1673"/>
      <c r="G219" s="1673"/>
      <c r="H219" s="1673"/>
      <c r="I219" s="1673"/>
      <c r="J219" s="1673"/>
      <c r="K219" s="1672">
        <f t="shared" si="19"/>
        <v>3464</v>
      </c>
      <c r="L219" s="1573">
        <v>5239</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1911</v>
      </c>
      <c r="E222" s="1673"/>
      <c r="F222" s="1673"/>
      <c r="G222" s="1673"/>
      <c r="H222" s="1673"/>
      <c r="I222" s="1673"/>
      <c r="J222" s="1673"/>
      <c r="K222" s="1672">
        <f t="shared" si="19"/>
        <v>1911</v>
      </c>
      <c r="L222" s="1573">
        <v>1844</v>
      </c>
    </row>
    <row r="223" spans="1:14" x14ac:dyDescent="0.2">
      <c r="A223" s="1274" t="s">
        <v>957</v>
      </c>
      <c r="B223" s="503">
        <v>1500</v>
      </c>
      <c r="C223" s="1673"/>
      <c r="D223" s="1573">
        <v>12995</v>
      </c>
      <c r="E223" s="1673"/>
      <c r="F223" s="1673"/>
      <c r="G223" s="1673"/>
      <c r="H223" s="1673"/>
      <c r="I223" s="1673"/>
      <c r="J223" s="1673"/>
      <c r="K223" s="1672">
        <f t="shared" si="19"/>
        <v>12995</v>
      </c>
      <c r="L223" s="1573">
        <v>10067</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957</v>
      </c>
      <c r="E226" s="1673"/>
      <c r="F226" s="1673"/>
      <c r="G226" s="1673"/>
      <c r="H226" s="1673"/>
      <c r="I226" s="1673"/>
      <c r="J226" s="1673"/>
      <c r="K226" s="1672">
        <f t="shared" si="19"/>
        <v>957</v>
      </c>
      <c r="L226" s="1573">
        <v>1125</v>
      </c>
    </row>
    <row r="227" spans="1:12" x14ac:dyDescent="0.2">
      <c r="A227" s="1274" t="s">
        <v>1078</v>
      </c>
      <c r="B227" s="503">
        <v>1800</v>
      </c>
      <c r="C227" s="1673"/>
      <c r="D227" s="1573">
        <v>885</v>
      </c>
      <c r="E227" s="1673"/>
      <c r="F227" s="1673"/>
      <c r="G227" s="1673"/>
      <c r="H227" s="1673"/>
      <c r="I227" s="1673"/>
      <c r="J227" s="1673"/>
      <c r="K227" s="1672">
        <f t="shared" si="19"/>
        <v>885</v>
      </c>
      <c r="L227" s="1573">
        <v>1005</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76791</v>
      </c>
      <c r="E229" s="1673"/>
      <c r="F229" s="1673"/>
      <c r="G229" s="1673"/>
      <c r="H229" s="1673"/>
      <c r="I229" s="1673"/>
      <c r="J229" s="1673"/>
      <c r="K229" s="1674">
        <f>SUM(K215:K228)</f>
        <v>76791</v>
      </c>
      <c r="L229" s="1674">
        <f>SUM(L215:L228)</f>
        <v>79722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1308</v>
      </c>
      <c r="E232" s="1673"/>
      <c r="F232" s="1673"/>
      <c r="G232" s="1673"/>
      <c r="H232" s="1673"/>
      <c r="I232" s="1673"/>
      <c r="J232" s="1673"/>
      <c r="K232" s="1672">
        <f t="shared" ref="K232:K237" si="20">D232</f>
        <v>1308</v>
      </c>
      <c r="L232" s="1573">
        <v>1312</v>
      </c>
    </row>
    <row r="233" spans="1:12" x14ac:dyDescent="0.2">
      <c r="A233" s="1274" t="s">
        <v>1081</v>
      </c>
      <c r="B233" s="503">
        <v>2120</v>
      </c>
      <c r="C233" s="1673"/>
      <c r="D233" s="1573">
        <v>10029</v>
      </c>
      <c r="E233" s="1673"/>
      <c r="F233" s="1673"/>
      <c r="G233" s="1673"/>
      <c r="H233" s="1673"/>
      <c r="I233" s="1673"/>
      <c r="J233" s="1673"/>
      <c r="K233" s="1672">
        <f t="shared" si="20"/>
        <v>10029</v>
      </c>
      <c r="L233" s="1573">
        <v>10832</v>
      </c>
    </row>
    <row r="234" spans="1:12" x14ac:dyDescent="0.2">
      <c r="A234" s="1274" t="s">
        <v>196</v>
      </c>
      <c r="B234" s="503">
        <v>2130</v>
      </c>
      <c r="C234" s="1673"/>
      <c r="D234" s="1573">
        <v>4707</v>
      </c>
      <c r="E234" s="1673"/>
      <c r="F234" s="1673"/>
      <c r="G234" s="1673"/>
      <c r="H234" s="1673"/>
      <c r="I234" s="1673"/>
      <c r="J234" s="1673"/>
      <c r="K234" s="1672">
        <f t="shared" si="20"/>
        <v>4707</v>
      </c>
      <c r="L234" s="1573">
        <v>5270</v>
      </c>
    </row>
    <row r="235" spans="1:12" x14ac:dyDescent="0.2">
      <c r="A235" s="1274" t="s">
        <v>197</v>
      </c>
      <c r="B235" s="503">
        <v>2140</v>
      </c>
      <c r="C235" s="1673"/>
      <c r="D235" s="1573">
        <v>151</v>
      </c>
      <c r="E235" s="1673"/>
      <c r="F235" s="1673"/>
      <c r="G235" s="1673"/>
      <c r="H235" s="1673"/>
      <c r="I235" s="1673"/>
      <c r="J235" s="1673"/>
      <c r="K235" s="1672">
        <f t="shared" si="20"/>
        <v>151</v>
      </c>
      <c r="L235" s="1573">
        <v>190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440</v>
      </c>
      <c r="E237" s="1673"/>
      <c r="F237" s="1673"/>
      <c r="G237" s="1673"/>
      <c r="H237" s="1673"/>
      <c r="I237" s="1673"/>
      <c r="J237" s="1673"/>
      <c r="K237" s="1672">
        <f t="shared" si="20"/>
        <v>440</v>
      </c>
      <c r="L237" s="1573">
        <v>1070</v>
      </c>
    </row>
    <row r="238" spans="1:12" ht="12.75" customHeight="1" thickBot="1" x14ac:dyDescent="0.25">
      <c r="A238" s="1380" t="s">
        <v>556</v>
      </c>
      <c r="B238" s="1383" t="s">
        <v>711</v>
      </c>
      <c r="C238" s="1673"/>
      <c r="D238" s="1674">
        <f>SUM(D232:D237)</f>
        <v>16635</v>
      </c>
      <c r="E238" s="1673"/>
      <c r="F238" s="1673"/>
      <c r="G238" s="1673"/>
      <c r="H238" s="1673"/>
      <c r="I238" s="1673"/>
      <c r="J238" s="1673"/>
      <c r="K238" s="1674">
        <f>SUM(K232:K237)</f>
        <v>16635</v>
      </c>
      <c r="L238" s="1674">
        <f>SUM(L232:L237)</f>
        <v>18674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79</v>
      </c>
      <c r="E240" s="1673"/>
      <c r="F240" s="1673"/>
      <c r="G240" s="1673"/>
      <c r="H240" s="1673"/>
      <c r="I240" s="1673"/>
      <c r="J240" s="1673"/>
      <c r="K240" s="1678">
        <f>D240</f>
        <v>79</v>
      </c>
      <c r="L240" s="1586">
        <v>87</v>
      </c>
    </row>
    <row r="241" spans="1:12" x14ac:dyDescent="0.2">
      <c r="A241" s="1274" t="s">
        <v>810</v>
      </c>
      <c r="B241" s="503">
        <v>2220</v>
      </c>
      <c r="C241" s="1673"/>
      <c r="D241" s="1573">
        <v>6387</v>
      </c>
      <c r="E241" s="1673"/>
      <c r="F241" s="1673"/>
      <c r="G241" s="1673"/>
      <c r="H241" s="1673"/>
      <c r="I241" s="1673"/>
      <c r="J241" s="1673"/>
      <c r="K241" s="1678">
        <f>D241</f>
        <v>6387</v>
      </c>
      <c r="L241" s="1573">
        <v>7180</v>
      </c>
    </row>
    <row r="242" spans="1:12" x14ac:dyDescent="0.2">
      <c r="A242" s="1274" t="s">
        <v>811</v>
      </c>
      <c r="B242" s="503">
        <v>2230</v>
      </c>
      <c r="C242" s="1673"/>
      <c r="D242" s="1573">
        <v>3</v>
      </c>
      <c r="E242" s="1673"/>
      <c r="F242" s="1673"/>
      <c r="G242" s="1673"/>
      <c r="H242" s="1673"/>
      <c r="I242" s="1673"/>
      <c r="J242" s="1673"/>
      <c r="K242" s="1678">
        <f>D242</f>
        <v>3</v>
      </c>
      <c r="L242" s="1573">
        <v>5</v>
      </c>
    </row>
    <row r="243" spans="1:12" ht="12.75" customHeight="1" thickBot="1" x14ac:dyDescent="0.25">
      <c r="A243" s="1396" t="s">
        <v>557</v>
      </c>
      <c r="B243" s="1397">
        <v>2200</v>
      </c>
      <c r="C243" s="1673"/>
      <c r="D243" s="1674">
        <f>SUM(D240:D242)</f>
        <v>6469</v>
      </c>
      <c r="E243" s="1673"/>
      <c r="F243" s="1673"/>
      <c r="G243" s="1673"/>
      <c r="H243" s="1673"/>
      <c r="I243" s="1673"/>
      <c r="J243" s="1673"/>
      <c r="K243" s="1674">
        <f>SUM(K240:K242)</f>
        <v>6469</v>
      </c>
      <c r="L243" s="1674">
        <f>SUM(L240:L242)</f>
        <v>7272</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238</v>
      </c>
      <c r="E245" s="1673"/>
      <c r="F245" s="1673"/>
      <c r="G245" s="1673"/>
      <c r="H245" s="1673"/>
      <c r="I245" s="1673"/>
      <c r="J245" s="1673"/>
      <c r="K245" s="1678">
        <f>D245</f>
        <v>238</v>
      </c>
      <c r="L245" s="1586">
        <v>330</v>
      </c>
    </row>
    <row r="246" spans="1:12" x14ac:dyDescent="0.2">
      <c r="A246" s="1274" t="s">
        <v>813</v>
      </c>
      <c r="B246" s="503">
        <v>2320</v>
      </c>
      <c r="C246" s="1673"/>
      <c r="D246" s="1573">
        <v>2750</v>
      </c>
      <c r="E246" s="1673"/>
      <c r="F246" s="1673"/>
      <c r="G246" s="1673"/>
      <c r="H246" s="1673"/>
      <c r="I246" s="1673"/>
      <c r="J246" s="1673"/>
      <c r="K246" s="1678">
        <f t="shared" ref="K246:K256" si="21">D246</f>
        <v>2750</v>
      </c>
      <c r="L246" s="1573">
        <v>3008</v>
      </c>
    </row>
    <row r="247" spans="1:12" x14ac:dyDescent="0.2">
      <c r="A247" s="1274" t="s">
        <v>814</v>
      </c>
      <c r="B247" s="503">
        <v>2330</v>
      </c>
      <c r="C247" s="1673"/>
      <c r="D247" s="1573">
        <v>693</v>
      </c>
      <c r="E247" s="1673"/>
      <c r="F247" s="1673"/>
      <c r="G247" s="1673"/>
      <c r="H247" s="1673"/>
      <c r="I247" s="1673"/>
      <c r="J247" s="1673"/>
      <c r="K247" s="1678">
        <f t="shared" si="21"/>
        <v>693</v>
      </c>
      <c r="L247" s="1573">
        <v>703</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3681</v>
      </c>
      <c r="E257" s="1673"/>
      <c r="F257" s="1673"/>
      <c r="G257" s="1673"/>
      <c r="H257" s="1673"/>
      <c r="I257" s="1673"/>
      <c r="J257" s="1673"/>
      <c r="K257" s="1674">
        <f>SUM(K245:K256)</f>
        <v>3681</v>
      </c>
      <c r="L257" s="1674">
        <f>SUM(L245:L256)</f>
        <v>4041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7907</v>
      </c>
      <c r="E259" s="1673"/>
      <c r="F259" s="1673"/>
      <c r="G259" s="1673"/>
      <c r="H259" s="1673"/>
      <c r="I259" s="1673"/>
      <c r="J259" s="1673"/>
      <c r="K259" s="1678">
        <f>D259</f>
        <v>7907</v>
      </c>
      <c r="L259" s="1586">
        <v>8662</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7907</v>
      </c>
      <c r="E261" s="1673"/>
      <c r="F261" s="1673"/>
      <c r="G261" s="1673"/>
      <c r="H261" s="1673"/>
      <c r="I261" s="1673"/>
      <c r="J261" s="1673"/>
      <c r="K261" s="1674">
        <f>SUM(K259:K260)</f>
        <v>7907</v>
      </c>
      <c r="L261" s="1674">
        <f>SUM(L259:L260)</f>
        <v>8662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11651</v>
      </c>
      <c r="E264" s="1673"/>
      <c r="F264" s="1673"/>
      <c r="G264" s="1673"/>
      <c r="H264" s="1673"/>
      <c r="I264" s="1673"/>
      <c r="J264" s="1673"/>
      <c r="K264" s="1678">
        <f t="shared" ref="K264:K269" si="22">D264</f>
        <v>11651</v>
      </c>
      <c r="L264" s="1573">
        <v>11942</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45021</v>
      </c>
      <c r="E266" s="1673"/>
      <c r="F266" s="1673"/>
      <c r="G266" s="1673"/>
      <c r="H266" s="1673"/>
      <c r="I266" s="1673"/>
      <c r="J266" s="1673"/>
      <c r="K266" s="1678">
        <f t="shared" si="22"/>
        <v>45021</v>
      </c>
      <c r="L266" s="1573">
        <v>47765</v>
      </c>
    </row>
    <row r="267" spans="1:14" x14ac:dyDescent="0.2">
      <c r="A267" s="1274" t="s">
        <v>947</v>
      </c>
      <c r="B267" s="503">
        <v>2550</v>
      </c>
      <c r="C267" s="1673"/>
      <c r="D267" s="1573">
        <v>93181</v>
      </c>
      <c r="E267" s="1673"/>
      <c r="F267" s="1673"/>
      <c r="G267" s="1673"/>
      <c r="H267" s="1673"/>
      <c r="I267" s="1673"/>
      <c r="J267" s="1673"/>
      <c r="K267" s="1678">
        <f t="shared" si="22"/>
        <v>93181</v>
      </c>
      <c r="L267" s="1573">
        <v>102545</v>
      </c>
    </row>
    <row r="268" spans="1:14" x14ac:dyDescent="0.2">
      <c r="A268" s="1274" t="s">
        <v>100</v>
      </c>
      <c r="B268" s="503">
        <v>2560</v>
      </c>
      <c r="C268" s="1673"/>
      <c r="D268" s="1573">
        <v>19218</v>
      </c>
      <c r="E268" s="1673"/>
      <c r="F268" s="1673"/>
      <c r="G268" s="1673"/>
      <c r="H268" s="1673"/>
      <c r="I268" s="1673"/>
      <c r="J268" s="1673"/>
      <c r="K268" s="1678">
        <f t="shared" si="22"/>
        <v>19218</v>
      </c>
      <c r="L268" s="1573">
        <v>20900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169071</v>
      </c>
      <c r="E270" s="1673"/>
      <c r="F270" s="1673"/>
      <c r="G270" s="1673"/>
      <c r="H270" s="1673"/>
      <c r="I270" s="1673"/>
      <c r="J270" s="1673"/>
      <c r="K270" s="1674">
        <f>SUM(K263:K269)</f>
        <v>169071</v>
      </c>
      <c r="L270" s="1674">
        <f>SUM(L263:L269)</f>
        <v>183152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203763</v>
      </c>
      <c r="E279" s="1673"/>
      <c r="F279" s="1673"/>
      <c r="G279" s="1673"/>
      <c r="H279" s="1673"/>
      <c r="I279" s="1673"/>
      <c r="J279" s="1673"/>
      <c r="K279" s="1681">
        <f>SUM(K238,K243,K257,K261,K270,K277,K278)</f>
        <v>203763</v>
      </c>
      <c r="L279" s="1681">
        <f>SUM(L238,L243,L257,L261,L270,L277,L278)</f>
        <v>221801</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46" t="s">
        <v>502</v>
      </c>
      <c r="B295" s="2347"/>
      <c r="C295" s="1673"/>
      <c r="D295" s="1674">
        <f>SUM(D229,D279,D280,D285)</f>
        <v>280554</v>
      </c>
      <c r="E295" s="1673"/>
      <c r="F295" s="1673"/>
      <c r="G295" s="1673"/>
      <c r="H295" s="1674">
        <f>H293</f>
        <v>0</v>
      </c>
      <c r="I295" s="1673"/>
      <c r="J295" s="1673"/>
      <c r="K295" s="1674">
        <f>SUM(K229,K279,K280,K285,K293,K294)</f>
        <v>280554</v>
      </c>
      <c r="L295" s="1674">
        <f>SUM(L229,L279,L280,L285,L293,L294)</f>
        <v>301523</v>
      </c>
    </row>
    <row r="296" spans="1:14" ht="13.5" thickTop="1" x14ac:dyDescent="0.2">
      <c r="A296" s="2328" t="s">
        <v>989</v>
      </c>
      <c r="B296" s="2329"/>
      <c r="C296" s="1673"/>
      <c r="D296" s="1675"/>
      <c r="E296" s="1673"/>
      <c r="F296" s="1673"/>
      <c r="G296" s="1673"/>
      <c r="H296" s="1707"/>
      <c r="I296" s="1673"/>
      <c r="J296" s="1673"/>
      <c r="K296" s="1689">
        <f>'Revenues 9-14'!G268-'Expenditures 15-22'!K295</f>
        <v>5834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38" t="s">
        <v>142</v>
      </c>
      <c r="B298" s="233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1500</v>
      </c>
      <c r="F301" s="1573">
        <v>0</v>
      </c>
      <c r="G301" s="1573">
        <v>711984</v>
      </c>
      <c r="H301" s="1573">
        <v>0</v>
      </c>
      <c r="I301" s="1574">
        <v>0</v>
      </c>
      <c r="J301" s="1574">
        <v>0</v>
      </c>
      <c r="K301" s="1672">
        <f>SUM(C301:J301)</f>
        <v>713484</v>
      </c>
      <c r="L301" s="1574">
        <v>745000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1500</v>
      </c>
      <c r="F303" s="1681">
        <f t="shared" si="23"/>
        <v>0</v>
      </c>
      <c r="G303" s="1681">
        <f t="shared" si="23"/>
        <v>711984</v>
      </c>
      <c r="H303" s="1681">
        <f t="shared" si="23"/>
        <v>0</v>
      </c>
      <c r="I303" s="1681">
        <f t="shared" si="23"/>
        <v>0</v>
      </c>
      <c r="J303" s="1681">
        <f t="shared" si="23"/>
        <v>0</v>
      </c>
      <c r="K303" s="1681">
        <f t="shared" si="23"/>
        <v>713484</v>
      </c>
      <c r="L303" s="1681">
        <f t="shared" si="23"/>
        <v>745000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43" t="s">
        <v>275</v>
      </c>
      <c r="B312" s="2344"/>
      <c r="C312" s="1674">
        <f>SUM(C303)</f>
        <v>0</v>
      </c>
      <c r="D312" s="1674">
        <f>SUM(D303)</f>
        <v>0</v>
      </c>
      <c r="E312" s="1674">
        <f>SUM(E303,E310)</f>
        <v>1500</v>
      </c>
      <c r="F312" s="1674">
        <f>SUM(F303)</f>
        <v>0</v>
      </c>
      <c r="G312" s="1674">
        <f>SUM(G303)</f>
        <v>711984</v>
      </c>
      <c r="H312" s="1674">
        <f>SUM(H303,H310)</f>
        <v>0</v>
      </c>
      <c r="I312" s="1674">
        <f>SUM(I303)</f>
        <v>0</v>
      </c>
      <c r="J312" s="1674">
        <f>SUM(J303)</f>
        <v>0</v>
      </c>
      <c r="K312" s="1674">
        <f>SUM(K303,K310,K311)</f>
        <v>713484</v>
      </c>
      <c r="L312" s="1674">
        <f>SUM(L303,L310,L311)</f>
        <v>745000</v>
      </c>
      <c r="M312" s="539"/>
      <c r="N312" s="539"/>
    </row>
    <row r="313" spans="1:14" ht="13.5" thickTop="1" x14ac:dyDescent="0.2">
      <c r="A313" s="2339" t="s">
        <v>989</v>
      </c>
      <c r="B313" s="2340"/>
      <c r="C313" s="1677"/>
      <c r="D313" s="1677"/>
      <c r="E313" s="1677"/>
      <c r="F313" s="1677"/>
      <c r="G313" s="1677"/>
      <c r="H313" s="1677"/>
      <c r="I313" s="1677"/>
      <c r="J313" s="1677"/>
      <c r="K313" s="1696">
        <f>'Revenues 9-14'!H268-'Expenditures 15-22'!K312</f>
        <v>-638500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52" t="s">
        <v>148</v>
      </c>
      <c r="B315" s="235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54" t="s">
        <v>892</v>
      </c>
      <c r="B317" s="235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43339</v>
      </c>
      <c r="F320" s="1574">
        <v>0</v>
      </c>
      <c r="G320" s="1574">
        <v>0</v>
      </c>
      <c r="H320" s="1574">
        <v>0</v>
      </c>
      <c r="I320" s="1574">
        <v>0</v>
      </c>
      <c r="J320" s="1574">
        <v>0</v>
      </c>
      <c r="K320" s="1672">
        <f t="shared" ref="K320:K327" si="24">SUM(C320:J320)</f>
        <v>43339</v>
      </c>
      <c r="L320" s="1574">
        <v>43339</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10000</v>
      </c>
      <c r="M321" s="539"/>
      <c r="N321" s="539"/>
    </row>
    <row r="322" spans="1:14" s="548" customFormat="1" x14ac:dyDescent="0.2">
      <c r="A322" s="1289" t="s">
        <v>236</v>
      </c>
      <c r="B322" s="567" t="s">
        <v>282</v>
      </c>
      <c r="C322" s="1574">
        <v>0</v>
      </c>
      <c r="D322" s="1574">
        <v>0</v>
      </c>
      <c r="E322" s="1574">
        <v>58610</v>
      </c>
      <c r="F322" s="1574">
        <v>0</v>
      </c>
      <c r="G322" s="1574">
        <v>0</v>
      </c>
      <c r="H322" s="1574">
        <v>0</v>
      </c>
      <c r="I322" s="1574">
        <v>0</v>
      </c>
      <c r="J322" s="1574">
        <v>0</v>
      </c>
      <c r="K322" s="1672">
        <f t="shared" si="24"/>
        <v>58610</v>
      </c>
      <c r="L322" s="1574">
        <v>58612</v>
      </c>
      <c r="M322" s="539"/>
      <c r="N322" s="539"/>
    </row>
    <row r="323" spans="1:14" s="548" customFormat="1" x14ac:dyDescent="0.2">
      <c r="A323" s="1289" t="s">
        <v>697</v>
      </c>
      <c r="B323" s="567" t="s">
        <v>283</v>
      </c>
      <c r="C323" s="1574">
        <v>72500</v>
      </c>
      <c r="D323" s="1574">
        <v>0</v>
      </c>
      <c r="E323" s="1574">
        <v>43000</v>
      </c>
      <c r="F323" s="1574">
        <v>0</v>
      </c>
      <c r="G323" s="1574">
        <v>0</v>
      </c>
      <c r="H323" s="1574">
        <v>0</v>
      </c>
      <c r="I323" s="1574">
        <v>0</v>
      </c>
      <c r="J323" s="1574">
        <v>0</v>
      </c>
      <c r="K323" s="1672">
        <f t="shared" si="24"/>
        <v>115500</v>
      </c>
      <c r="L323" s="1574">
        <v>115500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18230</v>
      </c>
      <c r="F327" s="1574">
        <v>0</v>
      </c>
      <c r="G327" s="1574">
        <v>0</v>
      </c>
      <c r="H327" s="1574">
        <v>0</v>
      </c>
      <c r="I327" s="1574">
        <v>0</v>
      </c>
      <c r="J327" s="1574">
        <v>0</v>
      </c>
      <c r="K327" s="1672">
        <f t="shared" si="24"/>
        <v>18230</v>
      </c>
      <c r="L327" s="1574">
        <v>10000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72500</v>
      </c>
      <c r="D330" s="1674">
        <f t="shared" ref="D330:J330" si="25">SUM(D319:D329)</f>
        <v>0</v>
      </c>
      <c r="E330" s="1674">
        <f t="shared" si="25"/>
        <v>163179</v>
      </c>
      <c r="F330" s="1674">
        <f t="shared" si="25"/>
        <v>0</v>
      </c>
      <c r="G330" s="1674">
        <f t="shared" si="25"/>
        <v>0</v>
      </c>
      <c r="H330" s="1674">
        <f t="shared" si="25"/>
        <v>0</v>
      </c>
      <c r="I330" s="1674">
        <f t="shared" si="25"/>
        <v>0</v>
      </c>
      <c r="J330" s="1674">
        <f t="shared" si="25"/>
        <v>0</v>
      </c>
      <c r="K330" s="1674">
        <f>SUM(K319:K329)</f>
        <v>235679</v>
      </c>
      <c r="L330" s="1674">
        <f>SUM(L319:L329)</f>
        <v>237451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72500</v>
      </c>
      <c r="D342" s="1674">
        <f>SUM(D330)</f>
        <v>0</v>
      </c>
      <c r="E342" s="1674">
        <f>SUM(E330)</f>
        <v>163179</v>
      </c>
      <c r="F342" s="1674">
        <f>SUM(F330)</f>
        <v>0</v>
      </c>
      <c r="G342" s="1674">
        <f>SUM(G330)</f>
        <v>0</v>
      </c>
      <c r="H342" s="1674">
        <f>SUM(H330,H334,H340)</f>
        <v>0</v>
      </c>
      <c r="I342" s="1674">
        <f>SUM(I330)</f>
        <v>0</v>
      </c>
      <c r="J342" s="1674">
        <f>SUM(J330)</f>
        <v>0</v>
      </c>
      <c r="K342" s="1674">
        <f>SUM(K330,K334,K340)</f>
        <v>235679</v>
      </c>
      <c r="L342" s="1681">
        <f>SUM(L330,L334,L340,L341)</f>
        <v>237451</v>
      </c>
    </row>
    <row r="343" spans="1:14" ht="12.75" customHeight="1" thickTop="1" x14ac:dyDescent="0.2">
      <c r="A343" s="2341" t="s">
        <v>989</v>
      </c>
      <c r="B343" s="2342"/>
      <c r="C343" s="1673"/>
      <c r="D343" s="1673"/>
      <c r="E343" s="1673"/>
      <c r="F343" s="1673"/>
      <c r="G343" s="1673"/>
      <c r="H343" s="1673"/>
      <c r="I343" s="1673"/>
      <c r="J343" s="1673"/>
      <c r="K343" s="1689">
        <f>'Revenues 9-14'!J268-'Expenditures 15-22'!K342</f>
        <v>78168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31" t="s">
        <v>960</v>
      </c>
      <c r="B345" s="233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28" t="s">
        <v>989</v>
      </c>
      <c r="B368" s="2329"/>
      <c r="C368" s="1694"/>
      <c r="D368" s="1694"/>
      <c r="E368" s="1677"/>
      <c r="F368" s="1677"/>
      <c r="G368" s="1677"/>
      <c r="H368" s="1677"/>
      <c r="I368" s="1677"/>
      <c r="J368" s="1676"/>
      <c r="K368" s="1672">
        <f>'Revenues 9-14'!K268-'Expenditures 15-22'!K367</f>
        <v>28381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5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56"/>
      <c r="B3" s="1294"/>
      <c r="C3" s="1295"/>
      <c r="D3" s="1296" t="s">
        <v>254</v>
      </c>
      <c r="E3" s="1295"/>
      <c r="F3" s="1296" t="s">
        <v>255</v>
      </c>
    </row>
    <row r="4" spans="1:8" ht="13.7" customHeight="1" x14ac:dyDescent="0.2">
      <c r="A4" s="579" t="s">
        <v>1145</v>
      </c>
      <c r="B4" s="1721">
        <f>'Revenues 9-14'!C5</f>
        <v>2973048</v>
      </c>
      <c r="C4" s="1722">
        <v>0</v>
      </c>
      <c r="D4" s="1723">
        <f>B4-C4</f>
        <v>2973048</v>
      </c>
      <c r="E4" s="1722">
        <v>3129730</v>
      </c>
      <c r="F4" s="1723">
        <f>E4-C4</f>
        <v>3129730</v>
      </c>
    </row>
    <row r="5" spans="1:8" ht="13.7" customHeight="1" x14ac:dyDescent="0.2">
      <c r="A5" s="579" t="s">
        <v>865</v>
      </c>
      <c r="B5" s="1724">
        <f>'Revenues 9-14'!D5</f>
        <v>542527</v>
      </c>
      <c r="C5" s="1664">
        <v>0</v>
      </c>
      <c r="D5" s="1725">
        <f t="shared" ref="D5:D18" si="0">B5-C5</f>
        <v>542527</v>
      </c>
      <c r="E5" s="1664">
        <v>571119</v>
      </c>
      <c r="F5" s="1725">
        <f>E5-C5</f>
        <v>571119</v>
      </c>
    </row>
    <row r="6" spans="1:8" ht="13.7" customHeight="1" x14ac:dyDescent="0.2">
      <c r="A6" s="579" t="s">
        <v>408</v>
      </c>
      <c r="B6" s="1724">
        <f>'Revenues 9-14'!E5</f>
        <v>764147</v>
      </c>
      <c r="C6" s="1664">
        <v>0</v>
      </c>
      <c r="D6" s="1725">
        <f t="shared" si="0"/>
        <v>764147</v>
      </c>
      <c r="E6" s="1664">
        <v>363209</v>
      </c>
      <c r="F6" s="1725">
        <f t="shared" ref="F6:F18" si="1">E6-C6</f>
        <v>363209</v>
      </c>
    </row>
    <row r="7" spans="1:8" ht="13.7" customHeight="1" x14ac:dyDescent="0.2">
      <c r="A7" s="579" t="s">
        <v>154</v>
      </c>
      <c r="B7" s="1724">
        <f>'Revenues 9-14'!F5</f>
        <v>260413</v>
      </c>
      <c r="C7" s="1664">
        <v>0</v>
      </c>
      <c r="D7" s="1725">
        <f t="shared" si="0"/>
        <v>260413</v>
      </c>
      <c r="E7" s="1664">
        <v>274137</v>
      </c>
      <c r="F7" s="1725">
        <f t="shared" si="1"/>
        <v>274137</v>
      </c>
    </row>
    <row r="8" spans="1:8" ht="13.7" customHeight="1" x14ac:dyDescent="0.2">
      <c r="A8" s="579" t="s">
        <v>1169</v>
      </c>
      <c r="B8" s="1724">
        <f>'Revenues 9-14'!G5</f>
        <v>95376</v>
      </c>
      <c r="C8" s="1664">
        <v>0</v>
      </c>
      <c r="D8" s="1725">
        <f t="shared" si="0"/>
        <v>95376</v>
      </c>
      <c r="E8" s="1664">
        <v>85005</v>
      </c>
      <c r="F8" s="1725">
        <f t="shared" si="1"/>
        <v>85005</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108505</v>
      </c>
      <c r="C10" s="1664">
        <v>0</v>
      </c>
      <c r="D10" s="1725">
        <f t="shared" si="0"/>
        <v>108505</v>
      </c>
      <c r="E10" s="1664">
        <v>114224</v>
      </c>
      <c r="F10" s="1725">
        <f t="shared" si="1"/>
        <v>114224</v>
      </c>
    </row>
    <row r="11" spans="1:8" x14ac:dyDescent="0.2">
      <c r="A11" s="579" t="s">
        <v>406</v>
      </c>
      <c r="B11" s="1724">
        <f>'Revenues 9-14'!J5</f>
        <v>286085</v>
      </c>
      <c r="C11" s="1664">
        <v>0</v>
      </c>
      <c r="D11" s="1725">
        <f t="shared" si="0"/>
        <v>286085</v>
      </c>
      <c r="E11" s="1664">
        <v>298512</v>
      </c>
      <c r="F11" s="1725">
        <f t="shared" si="1"/>
        <v>298512</v>
      </c>
    </row>
    <row r="12" spans="1:8" ht="13.7" customHeight="1" x14ac:dyDescent="0.2">
      <c r="A12" s="579" t="s">
        <v>156</v>
      </c>
      <c r="B12" s="1724">
        <f>'Revenues 9-14'!K5</f>
        <v>22222</v>
      </c>
      <c r="C12" s="1664">
        <v>0</v>
      </c>
      <c r="D12" s="1725">
        <f t="shared" si="0"/>
        <v>22222</v>
      </c>
      <c r="E12" s="1664">
        <v>23279</v>
      </c>
      <c r="F12" s="1725">
        <f t="shared" si="1"/>
        <v>23279</v>
      </c>
    </row>
    <row r="13" spans="1:8" ht="13.7" customHeight="1" x14ac:dyDescent="0.2">
      <c r="A13" s="579" t="s">
        <v>930</v>
      </c>
      <c r="B13" s="1724">
        <f>SUM('Revenues 9-14'!C6:D6)</f>
        <v>66666</v>
      </c>
      <c r="C13" s="1664">
        <v>0</v>
      </c>
      <c r="D13" s="1725">
        <f t="shared" si="0"/>
        <v>66666</v>
      </c>
      <c r="E13" s="1664">
        <v>69814</v>
      </c>
      <c r="F13" s="1725">
        <f t="shared" si="1"/>
        <v>69814</v>
      </c>
    </row>
    <row r="14" spans="1:8" ht="13.7" customHeight="1" x14ac:dyDescent="0.2">
      <c r="A14" s="579" t="s">
        <v>407</v>
      </c>
      <c r="B14" s="1724">
        <f>SUM('Revenues 9-14'!C7:D7,'Revenues 9-14'!F7:H7)</f>
        <v>43403</v>
      </c>
      <c r="C14" s="1664">
        <v>0</v>
      </c>
      <c r="D14" s="1725">
        <f t="shared" si="0"/>
        <v>43403</v>
      </c>
      <c r="E14" s="1664">
        <v>45689</v>
      </c>
      <c r="F14" s="1725">
        <f t="shared" si="1"/>
        <v>45689</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105402</v>
      </c>
      <c r="C16" s="1664">
        <v>0</v>
      </c>
      <c r="D16" s="1725">
        <f t="shared" si="0"/>
        <v>105402</v>
      </c>
      <c r="E16" s="1664">
        <v>95011</v>
      </c>
      <c r="F16" s="1725">
        <f t="shared" si="1"/>
        <v>95011</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5267794</v>
      </c>
      <c r="C19" s="1726">
        <f>SUM(C4:C18)</f>
        <v>0</v>
      </c>
      <c r="D19" s="1726">
        <f>SUM(D4:D18)</f>
        <v>5267794</v>
      </c>
      <c r="E19" s="1726">
        <f>SUM(E4:E18)</f>
        <v>5069729</v>
      </c>
      <c r="F19" s="1726">
        <f>SUM(F4:F18)</f>
        <v>5069729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7" t="s">
        <v>625</v>
      </c>
      <c r="B1" s="2375"/>
      <c r="C1" s="585"/>
    </row>
    <row r="2" spans="1:7" ht="33.75" x14ac:dyDescent="0.2">
      <c r="A2" s="2382" t="s">
        <v>1779</v>
      </c>
      <c r="B2" s="238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84" t="s">
        <v>1104</v>
      </c>
      <c r="B3" s="2385"/>
      <c r="C3" s="2378"/>
      <c r="D3" s="2379"/>
      <c r="E3" s="2379"/>
      <c r="F3" s="2380"/>
    </row>
    <row r="4" spans="1:7" ht="12.75" customHeight="1" thickBot="1" x14ac:dyDescent="0.25">
      <c r="A4" s="2372" t="s">
        <v>626</v>
      </c>
      <c r="B4" s="2373"/>
      <c r="C4" s="1656"/>
      <c r="D4" s="1656"/>
      <c r="E4" s="1656"/>
      <c r="F4" s="1732">
        <f>SUM(C4+D4)-E4</f>
        <v>0</v>
      </c>
    </row>
    <row r="5" spans="1:7" ht="15.75" customHeight="1" thickTop="1" x14ac:dyDescent="0.2">
      <c r="A5" s="2376" t="s">
        <v>1101</v>
      </c>
      <c r="B5" s="2371"/>
      <c r="C5" s="2365"/>
      <c r="D5" s="2366"/>
      <c r="E5" s="2366"/>
      <c r="F5" s="236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68" t="s">
        <v>627</v>
      </c>
      <c r="B15" s="2369"/>
      <c r="C15" s="1732">
        <f>SUM(C6:C14)</f>
        <v>0</v>
      </c>
      <c r="D15" s="1732">
        <f>SUM(D6:D14)</f>
        <v>0</v>
      </c>
      <c r="E15" s="1732">
        <f>SUM(E6:E14)</f>
        <v>0</v>
      </c>
      <c r="F15" s="1732">
        <f>SUM(F6:F14)</f>
        <v>0</v>
      </c>
      <c r="G15" s="473"/>
    </row>
    <row r="16" spans="1:7" s="197" customFormat="1" ht="15.75" customHeight="1" thickTop="1" x14ac:dyDescent="0.2">
      <c r="A16" s="2381" t="s">
        <v>1102</v>
      </c>
      <c r="B16" s="2371"/>
      <c r="C16" s="2365"/>
      <c r="D16" s="2366"/>
      <c r="E16" s="2366"/>
      <c r="F16" s="2367"/>
    </row>
    <row r="17" spans="1:11" ht="12.75" customHeight="1" thickBot="1" x14ac:dyDescent="0.25">
      <c r="A17" s="2363" t="s">
        <v>64</v>
      </c>
      <c r="B17" s="2364"/>
      <c r="C17" s="1733"/>
      <c r="D17" s="1664"/>
      <c r="E17" s="1733"/>
      <c r="F17" s="1732">
        <f>SUM(C17+D17)-E17</f>
        <v>0</v>
      </c>
    </row>
    <row r="18" spans="1:11" ht="12.75" customHeight="1" thickTop="1" thickBot="1" x14ac:dyDescent="0.25">
      <c r="A18" s="2363" t="s">
        <v>6</v>
      </c>
      <c r="B18" s="2364"/>
      <c r="C18" s="1733"/>
      <c r="D18" s="1664"/>
      <c r="E18" s="1733"/>
      <c r="F18" s="1732">
        <f>SUM(C18+D18)-E18</f>
        <v>0</v>
      </c>
    </row>
    <row r="19" spans="1:11" ht="12.75" customHeight="1" thickTop="1" thickBot="1" x14ac:dyDescent="0.25">
      <c r="A19" s="2363" t="s">
        <v>385</v>
      </c>
      <c r="B19" s="2364"/>
      <c r="C19" s="1733"/>
      <c r="D19" s="1664"/>
      <c r="E19" s="1733"/>
      <c r="F19" s="1732">
        <f>SUM(C19+D19)-E19</f>
        <v>0</v>
      </c>
    </row>
    <row r="20" spans="1:11" ht="12.75" customHeight="1" thickTop="1" thickBot="1" x14ac:dyDescent="0.25">
      <c r="A20" s="2363" t="s">
        <v>445</v>
      </c>
      <c r="B20" s="2364"/>
      <c r="C20" s="1733"/>
      <c r="D20" s="1664"/>
      <c r="E20" s="1733"/>
      <c r="F20" s="1732">
        <f>SUM(C20+D20)-E20</f>
        <v>0</v>
      </c>
    </row>
    <row r="21" spans="1:11" ht="14.25" thickTop="1" thickBot="1" x14ac:dyDescent="0.25">
      <c r="A21" s="2368" t="s">
        <v>628</v>
      </c>
      <c r="B21" s="2369"/>
      <c r="C21" s="1732">
        <f>SUM(C17:C20)</f>
        <v>0</v>
      </c>
      <c r="D21" s="1732">
        <f>SUM(D17:D20)</f>
        <v>0</v>
      </c>
      <c r="E21" s="1732">
        <f>SUM(E17:E20)</f>
        <v>0</v>
      </c>
      <c r="F21" s="1732">
        <f>SUM(F17:F20)</f>
        <v>0</v>
      </c>
      <c r="G21" s="473"/>
    </row>
    <row r="22" spans="1:11" ht="15.75" customHeight="1" thickTop="1" x14ac:dyDescent="0.2">
      <c r="A22" s="2370" t="s">
        <v>1103</v>
      </c>
      <c r="B22" s="2371"/>
      <c r="C22" s="2365"/>
      <c r="D22" s="2366"/>
      <c r="E22" s="2366"/>
      <c r="F22" s="2367"/>
    </row>
    <row r="23" spans="1:11" ht="13.5" thickBot="1" x14ac:dyDescent="0.25">
      <c r="A23" s="2372" t="s">
        <v>629</v>
      </c>
      <c r="B23" s="2373"/>
      <c r="C23" s="1656"/>
      <c r="D23" s="1656"/>
      <c r="E23" s="1656"/>
      <c r="F23" s="1732">
        <f>SUM(C23+D23)-E23</f>
        <v>0</v>
      </c>
      <c r="G23" s="473"/>
    </row>
    <row r="24" spans="1:11" ht="15.75" customHeight="1" thickTop="1" x14ac:dyDescent="0.2">
      <c r="A24" s="2370" t="s">
        <v>2006</v>
      </c>
      <c r="B24" s="2371"/>
      <c r="C24" s="2365"/>
      <c r="D24" s="2366"/>
      <c r="E24" s="2366"/>
      <c r="F24" s="2367"/>
    </row>
    <row r="25" spans="1:11" ht="13.5" thickBot="1" x14ac:dyDescent="0.25">
      <c r="A25" s="2372" t="s">
        <v>2007</v>
      </c>
      <c r="B25" s="2373"/>
      <c r="C25" s="1656"/>
      <c r="D25" s="1656"/>
      <c r="E25" s="1656"/>
      <c r="F25" s="1732">
        <f>SUM(C25+D25)-E25</f>
        <v>0</v>
      </c>
      <c r="G25" s="473"/>
    </row>
    <row r="26" spans="1:11" ht="15.75" customHeight="1" thickTop="1" x14ac:dyDescent="0.2">
      <c r="A26" s="2376" t="s">
        <v>652</v>
      </c>
      <c r="B26" s="2371"/>
      <c r="C26" s="589"/>
      <c r="D26" s="589"/>
      <c r="E26" s="589"/>
      <c r="F26" s="590"/>
    </row>
    <row r="27" spans="1:11" ht="13.5" thickBot="1" x14ac:dyDescent="0.25">
      <c r="A27" s="2368" t="s">
        <v>1061</v>
      </c>
      <c r="B27" s="2369"/>
      <c r="C27" s="1664"/>
      <c r="D27" s="1664"/>
      <c r="E27" s="1664"/>
      <c r="F27" s="1732">
        <f>SUM(C27+D27)-E27</f>
        <v>0</v>
      </c>
      <c r="G27" s="473"/>
    </row>
    <row r="28" spans="1:11" ht="7.5" customHeight="1" thickTop="1" x14ac:dyDescent="0.2">
      <c r="A28" s="489"/>
    </row>
    <row r="29" spans="1:11" ht="23.25" customHeight="1" x14ac:dyDescent="0.2">
      <c r="A29" s="2374" t="s">
        <v>578</v>
      </c>
      <c r="B29" s="237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2103</v>
      </c>
      <c r="B31" s="595">
        <v>42429</v>
      </c>
      <c r="C31" s="1734">
        <v>1970000</v>
      </c>
      <c r="D31" s="1735">
        <v>3</v>
      </c>
      <c r="E31" s="1734">
        <v>750000</v>
      </c>
      <c r="F31" s="1734">
        <v>0</v>
      </c>
      <c r="G31" s="1734"/>
      <c r="H31" s="1734">
        <v>750000</v>
      </c>
      <c r="I31" s="1736">
        <f>((E31+F31)-H31)+G31</f>
        <v>0</v>
      </c>
      <c r="J31" s="1734">
        <v>-105591</v>
      </c>
      <c r="K31" s="596"/>
    </row>
    <row r="32" spans="1:11" ht="12" customHeight="1" x14ac:dyDescent="0.2">
      <c r="A32" s="594" t="s">
        <v>2104</v>
      </c>
      <c r="B32" s="595">
        <v>43074</v>
      </c>
      <c r="C32" s="1734">
        <v>1060000</v>
      </c>
      <c r="D32" s="1735">
        <v>2</v>
      </c>
      <c r="E32" s="1734">
        <v>860000</v>
      </c>
      <c r="F32" s="1734">
        <v>0</v>
      </c>
      <c r="G32" s="1734"/>
      <c r="H32" s="1734">
        <v>205000</v>
      </c>
      <c r="I32" s="1736">
        <f>((E32+F32)-H32)+G32</f>
        <v>655000</v>
      </c>
      <c r="J32" s="1734">
        <f>655000-4515</f>
        <v>650485</v>
      </c>
      <c r="K32" s="596"/>
    </row>
    <row r="33" spans="1:11" ht="12" customHeight="1" x14ac:dyDescent="0.2">
      <c r="A33" s="594" t="s">
        <v>2105</v>
      </c>
      <c r="B33" s="595">
        <v>43804</v>
      </c>
      <c r="C33" s="1734">
        <v>1485000</v>
      </c>
      <c r="D33" s="1735">
        <v>3</v>
      </c>
      <c r="E33" s="1734"/>
      <c r="F33" s="1734">
        <v>1485000</v>
      </c>
      <c r="G33" s="1734"/>
      <c r="H33" s="1734"/>
      <c r="I33" s="1736">
        <f t="shared" ref="I33:I48" si="1">((E33+F33)-H33)+G33</f>
        <v>1485000</v>
      </c>
      <c r="J33" s="1734">
        <f>1485000-4674</f>
        <v>1480326</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4515000</v>
      </c>
      <c r="D49" s="1742"/>
      <c r="E49" s="1736">
        <f t="shared" ref="E49:J49" si="2">SUM(E31:E48)</f>
        <v>1610000</v>
      </c>
      <c r="F49" s="1736">
        <f t="shared" si="2"/>
        <v>1485000</v>
      </c>
      <c r="G49" s="1736">
        <f t="shared" si="2"/>
        <v>0</v>
      </c>
      <c r="H49" s="1736">
        <f t="shared" si="2"/>
        <v>955000</v>
      </c>
      <c r="I49" s="1736">
        <f t="shared" si="2"/>
        <v>2140000</v>
      </c>
      <c r="J49" s="1736">
        <f t="shared" si="2"/>
        <v>2025220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7" t="s">
        <v>580</v>
      </c>
      <c r="C52" s="2358"/>
      <c r="D52" s="2358"/>
      <c r="E52" s="603" t="s">
        <v>840</v>
      </c>
      <c r="F52" s="2359"/>
      <c r="G52" s="2360"/>
      <c r="H52" s="596"/>
      <c r="I52" s="596"/>
      <c r="J52" s="600"/>
    </row>
    <row r="53" spans="1:11" ht="11.25" customHeight="1" x14ac:dyDescent="0.2">
      <c r="A53" s="604" t="s">
        <v>907</v>
      </c>
      <c r="B53" s="605" t="s">
        <v>945</v>
      </c>
      <c r="C53" s="600"/>
      <c r="D53" s="597"/>
      <c r="E53" s="603" t="s">
        <v>494</v>
      </c>
      <c r="F53" s="2361"/>
      <c r="G53" s="2362"/>
      <c r="H53" s="596"/>
      <c r="I53" s="596"/>
      <c r="J53" s="600"/>
    </row>
    <row r="54" spans="1:11" ht="11.25" customHeight="1" x14ac:dyDescent="0.2">
      <c r="A54" s="606" t="s">
        <v>908</v>
      </c>
      <c r="B54" s="601" t="s">
        <v>946</v>
      </c>
      <c r="C54" s="600"/>
      <c r="D54" s="597"/>
      <c r="E54" s="603" t="s">
        <v>495</v>
      </c>
      <c r="F54" s="2361"/>
      <c r="G54" s="23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6" t="s">
        <v>851</v>
      </c>
      <c r="B1" s="2387"/>
      <c r="C1" s="2387"/>
      <c r="D1" s="2387"/>
      <c r="E1" s="2387"/>
      <c r="F1" s="2387"/>
      <c r="G1" s="2388"/>
      <c r="H1" s="1298"/>
      <c r="I1" s="614"/>
      <c r="J1" s="400"/>
    </row>
    <row r="2" spans="1:11" ht="26.25" x14ac:dyDescent="0.2">
      <c r="A2" s="2405" t="s">
        <v>1658</v>
      </c>
      <c r="B2" s="2406"/>
      <c r="C2" s="2406"/>
      <c r="D2" s="2406"/>
      <c r="E2" s="2407"/>
      <c r="F2" s="615" t="s">
        <v>898</v>
      </c>
      <c r="G2" s="616" t="s">
        <v>1655</v>
      </c>
      <c r="H2" s="616" t="s">
        <v>407</v>
      </c>
      <c r="I2" s="616" t="s">
        <v>1148</v>
      </c>
      <c r="J2" s="616" t="s">
        <v>1789</v>
      </c>
      <c r="K2" s="616" t="s">
        <v>137</v>
      </c>
    </row>
    <row r="3" spans="1:11" x14ac:dyDescent="0.2">
      <c r="A3" s="2408" t="str">
        <f>"Cash Basis Fund Balance as of July 1, "&amp;'AFR20'!E2-1</f>
        <v>Cash Basis Fund Balance as of July 1, 2019</v>
      </c>
      <c r="B3" s="2409"/>
      <c r="C3" s="2409"/>
      <c r="D3" s="2409"/>
      <c r="E3" s="2410"/>
      <c r="F3" s="617"/>
      <c r="G3" s="1744"/>
      <c r="H3" s="1744"/>
      <c r="I3" s="1744"/>
      <c r="J3" s="1745">
        <v>21</v>
      </c>
      <c r="K3" s="1745"/>
    </row>
    <row r="4" spans="1:11" x14ac:dyDescent="0.2">
      <c r="A4" s="2411" t="s">
        <v>366</v>
      </c>
      <c r="B4" s="2412"/>
      <c r="C4" s="2412"/>
      <c r="D4" s="2412"/>
      <c r="E4" s="2358"/>
      <c r="F4" s="620"/>
      <c r="G4" s="1746"/>
      <c r="H4" s="1747"/>
      <c r="I4" s="1746"/>
      <c r="J4" s="1748"/>
      <c r="K4" s="1748"/>
    </row>
    <row r="5" spans="1:11" x14ac:dyDescent="0.2">
      <c r="A5" s="2389" t="s">
        <v>1060</v>
      </c>
      <c r="B5" s="2390"/>
      <c r="C5" s="2390"/>
      <c r="D5" s="2390"/>
      <c r="E5" s="2391"/>
      <c r="F5" s="622" t="s">
        <v>843</v>
      </c>
      <c r="G5" s="1749"/>
      <c r="H5" s="1744">
        <v>43403</v>
      </c>
      <c r="I5" s="1750"/>
      <c r="J5" s="1751"/>
      <c r="K5" s="1751"/>
    </row>
    <row r="6" spans="1:11" x14ac:dyDescent="0.2">
      <c r="A6" s="625" t="s">
        <v>715</v>
      </c>
      <c r="B6" s="626"/>
      <c r="C6" s="626"/>
      <c r="D6" s="626"/>
      <c r="E6" s="627"/>
      <c r="F6" s="628" t="s">
        <v>844</v>
      </c>
      <c r="G6" s="1744"/>
      <c r="H6" s="1744">
        <v>40</v>
      </c>
      <c r="I6" s="1744"/>
      <c r="J6" s="1745"/>
      <c r="K6" s="1745"/>
    </row>
    <row r="7" spans="1:11" x14ac:dyDescent="0.2">
      <c r="A7" s="629" t="s">
        <v>244</v>
      </c>
      <c r="B7" s="630"/>
      <c r="C7" s="630"/>
      <c r="D7" s="630"/>
      <c r="E7" s="631"/>
      <c r="F7" s="622" t="s">
        <v>845</v>
      </c>
      <c r="G7" s="1746"/>
      <c r="H7" s="1746"/>
      <c r="I7" s="1746"/>
      <c r="J7" s="1752"/>
      <c r="K7" s="1745">
        <v>2900</v>
      </c>
    </row>
    <row r="8" spans="1:11" x14ac:dyDescent="0.2">
      <c r="A8" s="629" t="s">
        <v>342</v>
      </c>
      <c r="B8" s="630"/>
      <c r="C8" s="630"/>
      <c r="D8" s="630"/>
      <c r="E8" s="631"/>
      <c r="F8" s="622" t="s">
        <v>846</v>
      </c>
      <c r="G8" s="1753"/>
      <c r="H8" s="1753"/>
      <c r="I8" s="1753"/>
      <c r="J8" s="1745">
        <v>18268</v>
      </c>
      <c r="K8" s="1748"/>
    </row>
    <row r="9" spans="1:11" x14ac:dyDescent="0.2">
      <c r="A9" s="629" t="s">
        <v>137</v>
      </c>
      <c r="B9" s="630"/>
      <c r="C9" s="630"/>
      <c r="D9" s="630"/>
      <c r="E9" s="631"/>
      <c r="F9" s="628" t="s">
        <v>848</v>
      </c>
      <c r="G9" s="1753"/>
      <c r="H9" s="1749"/>
      <c r="I9" s="1749"/>
      <c r="J9" s="1752"/>
      <c r="K9" s="1745">
        <v>17411</v>
      </c>
    </row>
    <row r="10" spans="1:11" x14ac:dyDescent="0.2">
      <c r="A10" s="2389" t="s">
        <v>1790</v>
      </c>
      <c r="B10" s="2390"/>
      <c r="C10" s="2390"/>
      <c r="D10" s="2390"/>
      <c r="E10" s="2392"/>
      <c r="F10" s="633" t="s">
        <v>857</v>
      </c>
      <c r="G10" s="1753"/>
      <c r="H10" s="1754"/>
      <c r="I10" s="1744"/>
      <c r="J10" s="1745"/>
      <c r="K10" s="1745"/>
    </row>
    <row r="11" spans="1:11" x14ac:dyDescent="0.2">
      <c r="A11" s="2389" t="s">
        <v>159</v>
      </c>
      <c r="B11" s="2390"/>
      <c r="C11" s="2390"/>
      <c r="D11" s="2390"/>
      <c r="E11" s="2391"/>
      <c r="F11" s="622" t="s">
        <v>847</v>
      </c>
      <c r="G11" s="1749"/>
      <c r="H11" s="1744"/>
      <c r="I11" s="1744"/>
      <c r="J11" s="1745"/>
      <c r="K11" s="1751"/>
    </row>
    <row r="12" spans="1:11" ht="13.5" thickBot="1" x14ac:dyDescent="0.25">
      <c r="A12" s="2416" t="s">
        <v>899</v>
      </c>
      <c r="B12" s="2417"/>
      <c r="C12" s="2417"/>
      <c r="D12" s="2417"/>
      <c r="E12" s="2418"/>
      <c r="F12" s="1433"/>
      <c r="G12" s="1755">
        <f>SUM(G5:G11)</f>
        <v>0</v>
      </c>
      <c r="H12" s="1755">
        <f>SUM(H5:H11)</f>
        <v>43443</v>
      </c>
      <c r="I12" s="1755">
        <f>SUM(I5:I11)</f>
        <v>0</v>
      </c>
      <c r="J12" s="1755">
        <f>SUM(J5:J11)</f>
        <v>18268</v>
      </c>
      <c r="K12" s="1755">
        <f>SUM(K5:K11)</f>
        <v>20311</v>
      </c>
    </row>
    <row r="13" spans="1:11" ht="13.5" thickTop="1" x14ac:dyDescent="0.2">
      <c r="A13" s="2413" t="s">
        <v>367</v>
      </c>
      <c r="B13" s="2414"/>
      <c r="C13" s="2414"/>
      <c r="D13" s="2414"/>
      <c r="E13" s="2415"/>
      <c r="F13" s="634"/>
      <c r="G13" s="1756"/>
      <c r="H13" s="1757"/>
      <c r="I13" s="1758"/>
      <c r="J13" s="1758"/>
      <c r="K13" s="1758"/>
    </row>
    <row r="14" spans="1:11" x14ac:dyDescent="0.2">
      <c r="A14" s="2396" t="s">
        <v>453</v>
      </c>
      <c r="B14" s="2396"/>
      <c r="C14" s="2396"/>
      <c r="D14" s="2396"/>
      <c r="E14" s="2397"/>
      <c r="F14" s="635" t="s">
        <v>849</v>
      </c>
      <c r="G14" s="1753"/>
      <c r="H14" s="1744">
        <v>43443</v>
      </c>
      <c r="I14" s="1749"/>
      <c r="J14" s="1751"/>
      <c r="K14" s="1745">
        <v>20311</v>
      </c>
    </row>
    <row r="15" spans="1:11" x14ac:dyDescent="0.2">
      <c r="A15" s="2390" t="s">
        <v>4</v>
      </c>
      <c r="B15" s="2390"/>
      <c r="C15" s="2390"/>
      <c r="D15" s="2390"/>
      <c r="E15" s="2391"/>
      <c r="F15" s="635" t="s">
        <v>850</v>
      </c>
      <c r="G15" s="1749"/>
      <c r="H15" s="1744"/>
      <c r="I15" s="1744"/>
      <c r="J15" s="1745">
        <v>18289</v>
      </c>
      <c r="K15" s="1745"/>
    </row>
    <row r="16" spans="1:11" x14ac:dyDescent="0.2">
      <c r="A16" s="2390" t="s">
        <v>295</v>
      </c>
      <c r="B16" s="2390"/>
      <c r="C16" s="2390"/>
      <c r="D16" s="2390"/>
      <c r="E16" s="2391"/>
      <c r="F16" s="635" t="s">
        <v>917</v>
      </c>
      <c r="G16" s="1750"/>
      <c r="H16" s="1746"/>
      <c r="I16" s="1746"/>
      <c r="J16" s="1748"/>
      <c r="K16" s="1748"/>
    </row>
    <row r="17" spans="1:15" x14ac:dyDescent="0.2">
      <c r="A17" s="2423" t="s">
        <v>929</v>
      </c>
      <c r="B17" s="2423"/>
      <c r="C17" s="2423"/>
      <c r="D17" s="2423"/>
      <c r="E17" s="2424"/>
      <c r="F17" s="636"/>
      <c r="G17" s="1759"/>
      <c r="H17" s="1760"/>
      <c r="I17" s="1760"/>
      <c r="J17" s="1761"/>
      <c r="K17" s="1762"/>
    </row>
    <row r="18" spans="1:15" x14ac:dyDescent="0.2">
      <c r="A18" s="2400" t="s">
        <v>365</v>
      </c>
      <c r="B18" s="2401"/>
      <c r="C18" s="2401"/>
      <c r="D18" s="2401"/>
      <c r="E18" s="2402"/>
      <c r="F18" s="635" t="s">
        <v>926</v>
      </c>
      <c r="G18" s="1753"/>
      <c r="H18" s="1753"/>
      <c r="I18" s="1753"/>
      <c r="J18" s="1745"/>
      <c r="K18" s="1763"/>
    </row>
    <row r="19" spans="1:15" ht="21.75" customHeight="1" x14ac:dyDescent="0.2">
      <c r="A19" s="2398" t="s">
        <v>1786</v>
      </c>
      <c r="B19" s="2398"/>
      <c r="C19" s="2398"/>
      <c r="D19" s="2398"/>
      <c r="E19" s="2399"/>
      <c r="F19" s="635" t="s">
        <v>927</v>
      </c>
      <c r="G19" s="1753"/>
      <c r="H19" s="1753"/>
      <c r="I19" s="1753"/>
      <c r="J19" s="1745"/>
      <c r="K19" s="1763"/>
    </row>
    <row r="20" spans="1:15" x14ac:dyDescent="0.2">
      <c r="A20" s="2400" t="s">
        <v>1791</v>
      </c>
      <c r="B20" s="2401"/>
      <c r="C20" s="2401"/>
      <c r="D20" s="2401"/>
      <c r="E20" s="2402"/>
      <c r="F20" s="635" t="s">
        <v>928</v>
      </c>
      <c r="G20" s="1753"/>
      <c r="H20" s="1753"/>
      <c r="I20" s="1753"/>
      <c r="J20" s="1745"/>
      <c r="K20" s="1763"/>
    </row>
    <row r="21" spans="1:15" ht="13.5" thickBot="1" x14ac:dyDescent="0.25">
      <c r="A21" s="2419" t="s">
        <v>633</v>
      </c>
      <c r="B21" s="2419"/>
      <c r="C21" s="2419"/>
      <c r="D21" s="2419"/>
      <c r="E21" s="2419"/>
      <c r="F21" s="1434"/>
      <c r="G21" s="1760"/>
      <c r="H21" s="1764"/>
      <c r="I21" s="1764"/>
      <c r="J21" s="1765">
        <f>SUM(J18:J20)</f>
        <v>0</v>
      </c>
      <c r="K21" s="1761"/>
    </row>
    <row r="22" spans="1:15" ht="13.5" thickTop="1" x14ac:dyDescent="0.2">
      <c r="A22" s="2390" t="s">
        <v>1792</v>
      </c>
      <c r="B22" s="2390"/>
      <c r="C22" s="2390"/>
      <c r="D22" s="2390"/>
      <c r="E22" s="2391"/>
      <c r="F22" s="635" t="s">
        <v>857</v>
      </c>
      <c r="G22" s="1753"/>
      <c r="H22" s="1744"/>
      <c r="I22" s="1744"/>
      <c r="J22" s="1766"/>
      <c r="K22" s="1745"/>
    </row>
    <row r="23" spans="1:15" ht="13.5" thickBot="1" x14ac:dyDescent="0.25">
      <c r="A23" s="2420" t="s">
        <v>900</v>
      </c>
      <c r="B23" s="2419"/>
      <c r="C23" s="2419"/>
      <c r="D23" s="2419"/>
      <c r="E23" s="2419"/>
      <c r="F23" s="1436"/>
      <c r="G23" s="1755">
        <f>SUM(G14:G16,G21,G22)</f>
        <v>0</v>
      </c>
      <c r="H23" s="1755">
        <f>SUM(H14:H16,H21,H22)</f>
        <v>43443</v>
      </c>
      <c r="I23" s="1755">
        <f>SUM(I14:I16,I21,I22)</f>
        <v>0</v>
      </c>
      <c r="J23" s="1755">
        <f>SUM(J14:J16,J21,J22)</f>
        <v>18289</v>
      </c>
      <c r="K23" s="1755">
        <f>SUM(K14:K16,K21,K22)</f>
        <v>20311</v>
      </c>
      <c r="M23" s="1846"/>
      <c r="N23" s="1846"/>
      <c r="O23" s="1846"/>
    </row>
    <row r="24" spans="1:15" ht="14.25" thickTop="1" thickBot="1" x14ac:dyDescent="0.25">
      <c r="A24" s="2421" t="str">
        <f>"Ending Cash Basis Fund Balance as of June 30, "&amp;'AFR20'!E2</f>
        <v>Ending Cash Basis Fund Balance as of June 30, 2020</v>
      </c>
      <c r="B24" s="2422"/>
      <c r="C24" s="2422"/>
      <c r="D24" s="2422"/>
      <c r="E24" s="242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3"/>
      <c r="I31" s="2394"/>
      <c r="J31" s="2394"/>
      <c r="K31" s="2394"/>
    </row>
    <row r="32" spans="1:15" x14ac:dyDescent="0.2">
      <c r="A32" s="649"/>
      <c r="B32" s="232"/>
      <c r="C32" s="232"/>
      <c r="D32" s="232"/>
      <c r="E32" s="645"/>
      <c r="F32" s="651" t="s">
        <v>537</v>
      </c>
      <c r="G32" s="618"/>
      <c r="H32" s="2395"/>
      <c r="I32" s="2394"/>
      <c r="J32" s="2394"/>
      <c r="K32" s="2394"/>
    </row>
    <row r="33" spans="1:11" ht="1.5" customHeight="1" x14ac:dyDescent="0.2">
      <c r="A33" s="652" t="s">
        <v>1159</v>
      </c>
      <c r="B33" s="341"/>
      <c r="C33" s="341"/>
      <c r="D33" s="341"/>
      <c r="E33" s="341"/>
      <c r="F33" s="341"/>
      <c r="G33" s="653"/>
      <c r="H33" s="2395"/>
      <c r="I33" s="2394"/>
      <c r="J33" s="2394"/>
      <c r="K33" s="239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0" t="s">
        <v>538</v>
      </c>
      <c r="B41" s="2403"/>
      <c r="C41" s="2403"/>
      <c r="D41" s="2403"/>
      <c r="E41" s="2403"/>
      <c r="F41" s="240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7" t="s">
        <v>1875</v>
      </c>
      <c r="B1" s="2428"/>
      <c r="C1" s="2429"/>
      <c r="D1" s="666"/>
      <c r="E1" s="667"/>
      <c r="F1" s="667"/>
      <c r="G1" s="668"/>
      <c r="H1" s="669"/>
      <c r="I1" s="670"/>
      <c r="J1" s="2425"/>
      <c r="K1" s="2426"/>
      <c r="L1" s="242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665342</v>
      </c>
      <c r="D5" s="1770">
        <v>0</v>
      </c>
      <c r="E5" s="1770">
        <v>0</v>
      </c>
      <c r="F5" s="1765">
        <f>(C5+D5)-E5</f>
        <v>665342</v>
      </c>
      <c r="G5" s="676"/>
      <c r="H5" s="680"/>
      <c r="I5" s="680"/>
      <c r="J5" s="680"/>
      <c r="K5" s="637"/>
      <c r="L5" s="1442">
        <f>F5-K5</f>
        <v>665342</v>
      </c>
    </row>
    <row r="6" spans="1:14" ht="14.25" thickTop="1" thickBot="1" x14ac:dyDescent="0.25">
      <c r="A6" s="629" t="s">
        <v>1107</v>
      </c>
      <c r="B6" s="679">
        <v>222</v>
      </c>
      <c r="C6" s="1745">
        <v>102210</v>
      </c>
      <c r="D6" s="1745">
        <v>0</v>
      </c>
      <c r="E6" s="1745">
        <v>0</v>
      </c>
      <c r="F6" s="1765">
        <f>(C6+D6)-E6</f>
        <v>102210</v>
      </c>
      <c r="G6" s="676">
        <v>50</v>
      </c>
      <c r="H6" s="619">
        <v>20440</v>
      </c>
      <c r="I6" s="619">
        <v>2044</v>
      </c>
      <c r="J6" s="619">
        <v>0</v>
      </c>
      <c r="K6" s="1442">
        <f>(H6+I6)-J6</f>
        <v>22484</v>
      </c>
      <c r="L6" s="1442">
        <f>F6-K6</f>
        <v>79726</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22779625</v>
      </c>
      <c r="D8" s="1771">
        <v>1133054</v>
      </c>
      <c r="E8" s="1771">
        <v>0</v>
      </c>
      <c r="F8" s="1765">
        <f>(C8+D8)-E8</f>
        <v>23912679</v>
      </c>
      <c r="G8" s="681">
        <v>50</v>
      </c>
      <c r="H8" s="619">
        <v>7798136</v>
      </c>
      <c r="I8" s="619">
        <v>474447</v>
      </c>
      <c r="J8" s="619">
        <v>0</v>
      </c>
      <c r="K8" s="1442">
        <f>(H8+I8)-J8</f>
        <v>8272583</v>
      </c>
      <c r="L8" s="1442">
        <f>F8-K8</f>
        <v>15640096</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5762789</v>
      </c>
      <c r="D10" s="1772">
        <v>49779</v>
      </c>
      <c r="E10" s="1772">
        <v>0</v>
      </c>
      <c r="F10" s="1773">
        <f>(C10+D10)-E10</f>
        <v>5812568</v>
      </c>
      <c r="G10" s="681">
        <v>20</v>
      </c>
      <c r="H10" s="683">
        <v>2654059</v>
      </c>
      <c r="I10" s="683">
        <v>290628</v>
      </c>
      <c r="J10" s="683">
        <v>0</v>
      </c>
      <c r="K10" s="1442">
        <f>(H10+I10)-J10</f>
        <v>2944687</v>
      </c>
      <c r="L10" s="1442">
        <f>F10-K10</f>
        <v>2867881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395313</v>
      </c>
      <c r="D12" s="1771">
        <v>57637</v>
      </c>
      <c r="E12" s="1771">
        <v>57514</v>
      </c>
      <c r="F12" s="1765">
        <f>(C12+D12)-E12</f>
        <v>395436</v>
      </c>
      <c r="G12" s="681">
        <v>10</v>
      </c>
      <c r="H12" s="619">
        <v>249340</v>
      </c>
      <c r="I12" s="619">
        <v>39548</v>
      </c>
      <c r="J12" s="619">
        <v>57514</v>
      </c>
      <c r="K12" s="1442">
        <f>(H12+I12)-J12</f>
        <v>231374</v>
      </c>
      <c r="L12" s="1442">
        <f>F12-K12</f>
        <v>164062</v>
      </c>
    </row>
    <row r="13" spans="1:14" ht="14.25" thickTop="1" thickBot="1" x14ac:dyDescent="0.25">
      <c r="A13" s="684" t="s">
        <v>1112</v>
      </c>
      <c r="B13" s="679">
        <v>252</v>
      </c>
      <c r="C13" s="1771">
        <v>2128057</v>
      </c>
      <c r="D13" s="1771">
        <v>148043</v>
      </c>
      <c r="E13" s="1771">
        <v>133800</v>
      </c>
      <c r="F13" s="1765">
        <f>(C13+D13)-E13</f>
        <v>2142300</v>
      </c>
      <c r="G13" s="681">
        <v>5</v>
      </c>
      <c r="H13" s="619">
        <v>1686507</v>
      </c>
      <c r="I13" s="619">
        <v>190099</v>
      </c>
      <c r="J13" s="619">
        <v>133800</v>
      </c>
      <c r="K13" s="1442">
        <f>(H13+I13)-J13</f>
        <v>1742806</v>
      </c>
      <c r="L13" s="1442">
        <f>F13-K13</f>
        <v>399494</v>
      </c>
    </row>
    <row r="14" spans="1:14" ht="14.25" thickTop="1" thickBot="1" x14ac:dyDescent="0.25">
      <c r="A14" s="684" t="s">
        <v>1113</v>
      </c>
      <c r="B14" s="679">
        <v>253</v>
      </c>
      <c r="C14" s="1745">
        <v>3657</v>
      </c>
      <c r="D14" s="1745">
        <v>0</v>
      </c>
      <c r="E14" s="1745">
        <v>0</v>
      </c>
      <c r="F14" s="1765">
        <f>(C14+D14)-E14</f>
        <v>3657</v>
      </c>
      <c r="G14" s="681">
        <v>3</v>
      </c>
      <c r="H14" s="619">
        <v>3657</v>
      </c>
      <c r="I14" s="619">
        <v>0</v>
      </c>
      <c r="J14" s="619">
        <v>0</v>
      </c>
      <c r="K14" s="1442">
        <f>(H14+I14)-J14</f>
        <v>3657</v>
      </c>
      <c r="L14" s="1442">
        <f>F14-K14</f>
        <v>0</v>
      </c>
    </row>
    <row r="15" spans="1:14" ht="15" customHeight="1" thickTop="1" thickBot="1" x14ac:dyDescent="0.25">
      <c r="A15" s="1366" t="s">
        <v>525</v>
      </c>
      <c r="B15" s="1365">
        <v>260</v>
      </c>
      <c r="C15" s="1771">
        <v>421070</v>
      </c>
      <c r="D15" s="1771">
        <v>0</v>
      </c>
      <c r="E15" s="1771">
        <v>421070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32258063</v>
      </c>
      <c r="D16" s="1765">
        <f>SUM(D3,D5:D6,D8:D10,D12:D15)</f>
        <v>1388513</v>
      </c>
      <c r="E16" s="1765">
        <f>SUM(E3,E5:E6,E8:E10,E12:E15)</f>
        <v>612384</v>
      </c>
      <c r="F16" s="1765">
        <f>SUM(F3,F5:F6,F8:F10,F12:F15)</f>
        <v>33034192</v>
      </c>
      <c r="G16" s="681"/>
      <c r="H16" s="1435">
        <f>SUM(H3,H6,H8:H10,H12:H14,)</f>
        <v>12412139</v>
      </c>
      <c r="I16" s="1435">
        <f>SUM(I3,I6,I8:I10,I12:I14,)</f>
        <v>996766</v>
      </c>
      <c r="J16" s="1435">
        <f>SUM(J3,J6,J8:J10,J12:J14,)</f>
        <v>191314</v>
      </c>
      <c r="K16" s="1435">
        <f>(H16+I16)-J16</f>
        <v>13217591</v>
      </c>
      <c r="L16" s="1435">
        <f>F16-K16</f>
        <v>19816601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996766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3" t="str">
        <f>"ESTIMATED OPERATING EXPENSE PER PUPIL (OEPP)/PER CAPITA TUITION CHARGE (PCTC) COMPUTATIONS ("&amp;'AFR20'!E2-1&amp;" - "&amp;'AFR20'!E2&amp;")"</f>
        <v>ESTIMATED OPERATING EXPENSE PER PUPIL (OEPP)/PER CAPITA TUITION CHARGE (PCTC) COMPUTATIONS (2019 - 2020)</v>
      </c>
      <c r="B1" s="2434"/>
      <c r="C1" s="2434"/>
      <c r="D1" s="2434"/>
      <c r="E1" s="2434"/>
      <c r="F1" s="2435"/>
      <c r="G1" s="691"/>
      <c r="I1" s="701"/>
    </row>
    <row r="2" spans="1:9" ht="15" customHeight="1" thickBot="1" x14ac:dyDescent="0.25">
      <c r="A2" s="2436" t="s">
        <v>474</v>
      </c>
      <c r="B2" s="2437"/>
      <c r="C2" s="2437"/>
      <c r="D2" s="2437"/>
      <c r="E2" s="2437"/>
      <c r="F2" s="243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39"/>
      <c r="B5" s="2440"/>
      <c r="C5" s="2440"/>
      <c r="D5" s="2440"/>
      <c r="E5" s="2440"/>
      <c r="F5" s="2440"/>
    </row>
    <row r="6" spans="1:9" ht="13.5" customHeight="1" thickBot="1" x14ac:dyDescent="0.25">
      <c r="A6" s="2430" t="s">
        <v>1095</v>
      </c>
      <c r="B6" s="2431"/>
      <c r="C6" s="2431"/>
      <c r="D6" s="2431"/>
      <c r="E6" s="2431"/>
      <c r="F6" s="243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6084552</v>
      </c>
      <c r="G8" s="701"/>
    </row>
    <row r="9" spans="1:9" x14ac:dyDescent="0.2">
      <c r="A9" s="705" t="s">
        <v>457</v>
      </c>
      <c r="B9" s="706" t="s">
        <v>1848</v>
      </c>
      <c r="C9" s="707"/>
      <c r="D9" s="705" t="s">
        <v>498</v>
      </c>
      <c r="E9" s="704"/>
      <c r="F9" s="1775">
        <f>'Expenditures 15-22'!K151</f>
        <v>683552</v>
      </c>
      <c r="G9" s="708"/>
    </row>
    <row r="10" spans="1:9" x14ac:dyDescent="0.2">
      <c r="A10" s="705" t="s">
        <v>496</v>
      </c>
      <c r="B10" s="706" t="s">
        <v>1849</v>
      </c>
      <c r="C10" s="707"/>
      <c r="D10" s="705" t="s">
        <v>498</v>
      </c>
      <c r="E10" s="704"/>
      <c r="F10" s="1775">
        <f>'Expenditures 15-22'!K174</f>
        <v>1018490</v>
      </c>
      <c r="G10" s="708"/>
    </row>
    <row r="11" spans="1:9" x14ac:dyDescent="0.2">
      <c r="A11" s="705" t="s">
        <v>458</v>
      </c>
      <c r="B11" s="706" t="s">
        <v>1850</v>
      </c>
      <c r="C11" s="707"/>
      <c r="D11" s="705" t="s">
        <v>498</v>
      </c>
      <c r="E11" s="704"/>
      <c r="F11" s="1775">
        <f>'Expenditures 15-22'!K210</f>
        <v>932506</v>
      </c>
      <c r="G11" s="708"/>
    </row>
    <row r="12" spans="1:9" x14ac:dyDescent="0.2">
      <c r="A12" s="705" t="s">
        <v>459</v>
      </c>
      <c r="B12" s="706" t="s">
        <v>1851</v>
      </c>
      <c r="C12" s="707"/>
      <c r="D12" s="705" t="s">
        <v>498</v>
      </c>
      <c r="E12" s="704"/>
      <c r="F12" s="1775">
        <f>'Expenditures 15-22'!K295</f>
        <v>280554</v>
      </c>
      <c r="G12" s="708"/>
    </row>
    <row r="13" spans="1:9" x14ac:dyDescent="0.2">
      <c r="A13" s="705" t="s">
        <v>106</v>
      </c>
      <c r="B13" s="706" t="s">
        <v>1852</v>
      </c>
      <c r="C13" s="707"/>
      <c r="D13" s="705" t="s">
        <v>498</v>
      </c>
      <c r="E13" s="704"/>
      <c r="F13" s="1775">
        <f>'Expenditures 15-22'!K342</f>
        <v>235679</v>
      </c>
      <c r="G13" s="709"/>
    </row>
    <row r="14" spans="1:9" ht="12" customHeight="1" thickBot="1" x14ac:dyDescent="0.25">
      <c r="A14" s="1443"/>
      <c r="B14" s="1444"/>
      <c r="C14" s="1445"/>
      <c r="D14" s="1446" t="s">
        <v>498</v>
      </c>
      <c r="E14" s="1447" t="s">
        <v>952</v>
      </c>
      <c r="F14" s="1776">
        <f>SUM(F8:F13)</f>
        <v>9235333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418600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314094</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5808</v>
      </c>
      <c r="G52" s="701"/>
    </row>
    <row r="53" spans="1:7" x14ac:dyDescent="0.2">
      <c r="A53" s="705" t="s">
        <v>456</v>
      </c>
      <c r="B53" s="705" t="s">
        <v>1458</v>
      </c>
      <c r="C53" s="724">
        <f>'Expenditures 15-22'!B102</f>
        <v>4000</v>
      </c>
      <c r="D53" s="723" t="str">
        <f>'Expenditures 15-22'!A102</f>
        <v>Total Payments to Other Govt Units</v>
      </c>
      <c r="E53" s="704"/>
      <c r="F53" s="1782">
        <f>'Expenditures 15-22'!K102</f>
        <v>157742</v>
      </c>
      <c r="G53" s="701"/>
    </row>
    <row r="54" spans="1:7" x14ac:dyDescent="0.2">
      <c r="A54" s="705" t="s">
        <v>456</v>
      </c>
      <c r="B54" s="705" t="s">
        <v>1459</v>
      </c>
      <c r="C54" s="724" t="s">
        <v>975</v>
      </c>
      <c r="D54" s="720" t="s">
        <v>1086</v>
      </c>
      <c r="E54" s="704"/>
      <c r="F54" s="1782">
        <f>'Expenditures 15-22'!G114</f>
        <v>36904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70512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955000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148043</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2106703</v>
      </c>
      <c r="G77" s="701"/>
    </row>
    <row r="78" spans="1:9" s="728" customFormat="1" ht="12" customHeight="1" thickTop="1" thickBot="1" x14ac:dyDescent="0.25">
      <c r="A78" s="1450"/>
      <c r="B78" s="1448"/>
      <c r="C78" s="1445"/>
      <c r="D78" s="1449" t="s">
        <v>2012</v>
      </c>
      <c r="E78" s="1447"/>
      <c r="F78" s="1788">
        <f>(F14-F77)</f>
        <v>7128630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503.1</v>
      </c>
      <c r="G79" s="733"/>
      <c r="H79" s="705"/>
      <c r="I79" s="705"/>
    </row>
    <row r="80" spans="1:9" s="728" customFormat="1" ht="12" customHeight="1" thickBot="1" x14ac:dyDescent="0.25">
      <c r="A80" s="1452"/>
      <c r="B80" s="1448"/>
      <c r="C80" s="1445"/>
      <c r="D80" s="1449" t="s">
        <v>2013</v>
      </c>
      <c r="E80" s="1447" t="s">
        <v>952</v>
      </c>
      <c r="F80" s="1790">
        <f>IF(F79&gt;0,F78/F79," Complete Line 79")</f>
        <v>14169.409660107334</v>
      </c>
      <c r="G80" s="705"/>
    </row>
    <row r="81" spans="1:7" s="728" customFormat="1" ht="8.25" customHeight="1" thickTop="1" x14ac:dyDescent="0.2">
      <c r="A81" s="734"/>
      <c r="B81" s="705"/>
      <c r="C81" s="707"/>
      <c r="D81" s="735"/>
      <c r="E81" s="704"/>
      <c r="F81" s="1791"/>
      <c r="G81" s="705"/>
    </row>
    <row r="82" spans="1:7" s="728" customFormat="1" ht="12" thickBot="1" x14ac:dyDescent="0.25">
      <c r="A82" s="2430" t="s">
        <v>1096</v>
      </c>
      <c r="B82" s="2431"/>
      <c r="C82" s="2431"/>
      <c r="D82" s="2431"/>
      <c r="E82" s="2431"/>
      <c r="F82" s="243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739</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177382</v>
      </c>
      <c r="G95" s="745"/>
    </row>
    <row r="96" spans="1:7" x14ac:dyDescent="0.2">
      <c r="A96" s="741" t="s">
        <v>139</v>
      </c>
      <c r="B96" s="741" t="s">
        <v>174</v>
      </c>
      <c r="C96" s="743">
        <v>1700</v>
      </c>
      <c r="D96" s="751" t="str">
        <f>'Revenues 9-14'!A82</f>
        <v>Total District/School Activity Income</v>
      </c>
      <c r="E96" s="739"/>
      <c r="F96" s="1793">
        <f>SUM('Revenues 9-14'!C82,'Revenues 9-14'!D82)</f>
        <v>60606</v>
      </c>
      <c r="G96" s="745"/>
    </row>
    <row r="97" spans="1:7" x14ac:dyDescent="0.2">
      <c r="A97" s="741" t="s">
        <v>456</v>
      </c>
      <c r="B97" s="741" t="s">
        <v>175</v>
      </c>
      <c r="C97" s="743">
        <f>'Revenues 9-14'!B84</f>
        <v>1811</v>
      </c>
      <c r="D97" s="744" t="str">
        <f>'Revenues 9-14'!A84</f>
        <v>Rentals - Regular Textbooks</v>
      </c>
      <c r="E97" s="739"/>
      <c r="F97" s="1793">
        <f>'Revenues 9-14'!C84</f>
        <v>25053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9619</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41400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57502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15057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1081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17411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188324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37833</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100643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136893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5540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90879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95430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11027</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10126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8277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180427.8</v>
      </c>
      <c r="G172" s="760"/>
    </row>
    <row r="173" spans="1:7" x14ac:dyDescent="0.2">
      <c r="A173" s="1529" t="s">
        <v>659</v>
      </c>
      <c r="B173" s="1530" t="s">
        <v>1885</v>
      </c>
      <c r="C173" s="1531">
        <v>3300</v>
      </c>
      <c r="D173" s="1532" t="s">
        <v>1888</v>
      </c>
      <c r="E173" s="739"/>
      <c r="F173" s="1794">
        <v>14206.14</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1286755.94</v>
      </c>
    </row>
    <row r="176" spans="1:7" ht="12" customHeight="1" x14ac:dyDescent="0.2">
      <c r="A176" s="1443"/>
      <c r="B176" s="1453"/>
      <c r="C176" s="1454"/>
      <c r="D176" s="1455" t="s">
        <v>2014</v>
      </c>
      <c r="E176" s="1456"/>
      <c r="F176" s="1793">
        <f>'PCTC-OEPP 27-28'!F78-F175</f>
        <v>5841874.0600000005</v>
      </c>
    </row>
    <row r="177" spans="1:9" ht="12" customHeight="1" x14ac:dyDescent="0.2">
      <c r="A177" s="1443"/>
      <c r="B177" s="1453"/>
      <c r="C177" s="1454"/>
      <c r="D177" s="1455" t="s">
        <v>1794</v>
      </c>
      <c r="E177" s="1456"/>
      <c r="F177" s="1793">
        <f>'Cap Outlay Deprec 26'!I18</f>
        <v>996766</v>
      </c>
    </row>
    <row r="178" spans="1:9" ht="12" customHeight="1" x14ac:dyDescent="0.2">
      <c r="A178" s="1443"/>
      <c r="B178" s="1453"/>
      <c r="C178" s="1454"/>
      <c r="D178" s="1455" t="s">
        <v>2015</v>
      </c>
      <c r="E178" s="1456"/>
      <c r="F178" s="1793">
        <f>F176+F177</f>
        <v>6838640.0600000005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503.1</v>
      </c>
      <c r="G179" s="763"/>
      <c r="I179" s="701"/>
    </row>
    <row r="180" spans="1:9" ht="12" customHeight="1" thickBot="1" x14ac:dyDescent="0.25">
      <c r="A180" s="1443"/>
      <c r="B180" s="1457"/>
      <c r="C180" s="1454"/>
      <c r="D180" s="1455" t="s">
        <v>2017</v>
      </c>
      <c r="E180" s="1456" t="s">
        <v>1528</v>
      </c>
      <c r="F180" s="1798">
        <f>F178/F179</f>
        <v>13593.003498310476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44" t="s">
        <v>1795</v>
      </c>
      <c r="B4" s="2445"/>
      <c r="C4" s="2445"/>
      <c r="D4" s="2445"/>
      <c r="E4" s="2445"/>
      <c r="F4" s="2446"/>
    </row>
    <row r="5" spans="1:6" x14ac:dyDescent="0.25">
      <c r="A5" s="2447"/>
      <c r="B5" s="2448"/>
      <c r="C5" s="2448"/>
      <c r="D5" s="2448"/>
      <c r="E5" s="2448"/>
      <c r="F5" s="2449"/>
    </row>
    <row r="6" spans="1:6" ht="18.75" x14ac:dyDescent="0.25">
      <c r="A6" s="1867" t="s">
        <v>1796</v>
      </c>
      <c r="B6" s="1868"/>
      <c r="C6" s="1869"/>
      <c r="D6" s="1869"/>
      <c r="E6" s="1869"/>
      <c r="F6" s="1870"/>
    </row>
    <row r="7" spans="1:6" ht="47.25" customHeight="1" x14ac:dyDescent="0.25">
      <c r="A7" s="2450" t="s">
        <v>1985</v>
      </c>
      <c r="B7" s="2451"/>
      <c r="C7" s="2451"/>
      <c r="D7" s="2451"/>
      <c r="E7" s="2451"/>
      <c r="F7" s="245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53" t="s">
        <v>1981</v>
      </c>
      <c r="B10" s="2454"/>
      <c r="C10" s="2454"/>
      <c r="D10" s="2454"/>
      <c r="E10" s="2454"/>
      <c r="F10" s="2455"/>
    </row>
    <row r="11" spans="1:6" ht="33" customHeight="1" x14ac:dyDescent="0.25">
      <c r="A11" s="2450" t="s">
        <v>1986</v>
      </c>
      <c r="B11" s="2451"/>
      <c r="C11" s="2451"/>
      <c r="D11" s="2451"/>
      <c r="E11" s="2451"/>
      <c r="F11" s="2452"/>
    </row>
    <row r="12" spans="1:6" ht="15" customHeight="1" x14ac:dyDescent="0.25">
      <c r="A12" s="1873" t="s">
        <v>1982</v>
      </c>
      <c r="B12" s="1874"/>
      <c r="C12" s="1875"/>
      <c r="D12" s="1875"/>
      <c r="E12" s="1875"/>
      <c r="F12" s="1876"/>
    </row>
    <row r="13" spans="1:6" ht="17.25" customHeight="1" x14ac:dyDescent="0.25">
      <c r="A13" s="2450" t="s">
        <v>1983</v>
      </c>
      <c r="B13" s="2451"/>
      <c r="C13" s="2451"/>
      <c r="D13" s="2451"/>
      <c r="E13" s="2451"/>
      <c r="F13" s="2452"/>
    </row>
    <row r="14" spans="1:6" ht="15" customHeight="1" x14ac:dyDescent="0.25">
      <c r="A14" s="1873" t="s">
        <v>1800</v>
      </c>
      <c r="B14" s="1874"/>
      <c r="C14" s="1875"/>
      <c r="D14" s="1875"/>
      <c r="E14" s="1875"/>
      <c r="F14" s="1876"/>
    </row>
    <row r="15" spans="1:6" ht="32.25" customHeight="1" x14ac:dyDescent="0.25">
      <c r="A15" s="244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2"/>
      <c r="C15" s="2442"/>
      <c r="D15" s="2442"/>
      <c r="E15" s="2442"/>
      <c r="F15" s="244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103" t="s">
        <v>2106</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hidden="1"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6" t="s">
        <v>1660</v>
      </c>
      <c r="B5" s="2457"/>
      <c r="C5" s="2457"/>
      <c r="D5" s="2457"/>
      <c r="E5" s="2457"/>
      <c r="F5" s="2457"/>
      <c r="G5" s="245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167793.24</v>
      </c>
      <c r="F10" s="805"/>
      <c r="G10" s="806"/>
      <c r="H10" s="157"/>
      <c r="I10" s="157"/>
    </row>
    <row r="11" spans="1:13" s="542" customFormat="1" ht="22.5" customHeight="1" x14ac:dyDescent="0.2">
      <c r="A11" s="246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2"/>
      <c r="C11" s="2462"/>
      <c r="D11" s="2463"/>
      <c r="E11" s="1801">
        <v>9053.4599999999991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4305238</v>
      </c>
      <c r="F19" s="1802"/>
      <c r="G19" s="1804">
        <f>'Expenditures 15-22'!K33-SUM('Expenditures 15-22'!G33,'Expenditures 15-22'!I33)+'Expenditures 15-22'!D229</f>
        <v>4305238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476655</v>
      </c>
      <c r="F21" s="1805"/>
      <c r="G21" s="1808">
        <f>'Expenditures 15-22'!K42-SUM('Expenditures 15-22'!G42,'Expenditures 15-22'!I42)+'Expenditures 15-22'!K120-SUM('Expenditures 15-22'!G120,'Expenditures 15-22'!I120)+'Expenditures 15-22'!K180-SUM('Expenditures 15-22'!G180,'Expenditures 15-22'!I180)+'Expenditures 15-22'!D238</f>
        <v>476655</v>
      </c>
      <c r="H21" s="817"/>
      <c r="I21" s="157"/>
    </row>
    <row r="22" spans="1:9" s="542" customFormat="1" ht="12" customHeight="1" x14ac:dyDescent="0.2">
      <c r="A22" s="824" t="s">
        <v>560</v>
      </c>
      <c r="B22" s="825"/>
      <c r="C22" s="823">
        <v>2200</v>
      </c>
      <c r="D22" s="1805"/>
      <c r="E22" s="1807">
        <f>'Expenditures 15-22'!K47-SUM('Expenditures 15-22'!G47,'Expenditures 15-22'!I47)+'Expenditures 15-22'!D243</f>
        <v>74607</v>
      </c>
      <c r="F22" s="1805"/>
      <c r="G22" s="1808">
        <f>'Expenditures 15-22'!K47-SUM('Expenditures 15-22'!G47,'Expenditures 15-22'!I47)+'Expenditures 15-22'!D243</f>
        <v>74607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511184</v>
      </c>
      <c r="F23" s="1805"/>
      <c r="G23" s="1807">
        <f>'Expenditures 15-22'!K53-SUM('Expenditures 15-22'!G53,'Expenditures 15-22'!I53)+'Expenditures 15-22'!D257+'Expenditures 15-22'!K330-SUM('Expenditures 15-22'!G330,'Expenditures 15-22'!I330)</f>
        <v>511184</v>
      </c>
      <c r="H23" s="817"/>
      <c r="I23" s="157"/>
    </row>
    <row r="24" spans="1:9" s="542" customFormat="1" ht="12" customHeight="1" x14ac:dyDescent="0.2">
      <c r="A24" s="824" t="s">
        <v>562</v>
      </c>
      <c r="B24" s="825"/>
      <c r="C24" s="823">
        <v>2400</v>
      </c>
      <c r="D24" s="1805"/>
      <c r="E24" s="1807">
        <f>'Expenditures 15-22'!K57-SUM('Expenditures 15-22'!G57,'Expenditures 15-22'!I57)+'Expenditures 15-22'!D261</f>
        <v>343132</v>
      </c>
      <c r="F24" s="1805"/>
      <c r="G24" s="1808">
        <f>'Expenditures 15-22'!K57-SUM('Expenditures 15-22'!G57,'Expenditures 15-22'!I57)+'Expenditures 15-22'!D261</f>
        <v>343132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101846</v>
      </c>
      <c r="E27" s="1807">
        <f>E8</f>
        <v>0</v>
      </c>
      <c r="F27" s="1807">
        <f>'Expenditures 15-22'!K60-SUM('Expenditures 15-22'!G60,'Expenditures 15-22'!I60)+'Expenditures 15-22'!D264-E8</f>
        <v>101846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774816</v>
      </c>
      <c r="F28" s="1809">
        <f>'Expenditures 15-22'!K61-SUM('Expenditures 15-22'!G61,'Expenditures 15-22'!I61)+'Expenditures 15-22'!K124-SUM('Expenditures 15-22'!G124,'Expenditures 15-22'!I124)+'Expenditures 15-22'!D266-E9</f>
        <v>774816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877644</v>
      </c>
      <c r="F29" s="1805"/>
      <c r="G29" s="1808">
        <f>'Expenditures 15-22'!K62-SUM('Expenditures 15-22'!G62,'Expenditures 15-22'!I62)+'Expenditures 15-22'!K125-SUM('Expenditures 15-22'!G125,'Expenditures 15-22'!I125)+'Expenditures 15-22'!K182-SUM('Expenditures 15-22'!G182,'Expenditures 15-22'!I182)+'Expenditures 15-22'!D267</f>
        <v>877644</v>
      </c>
      <c r="H29" s="815"/>
    </row>
    <row r="30" spans="1:9" ht="12" customHeight="1" x14ac:dyDescent="0.2">
      <c r="A30" s="824" t="s">
        <v>100</v>
      </c>
      <c r="B30" s="827"/>
      <c r="C30" s="823">
        <v>2560</v>
      </c>
      <c r="D30" s="1805"/>
      <c r="E30" s="1807">
        <f>'Expenditures 15-22'!K63-SUM('Expenditures 15-22'!G63,'Expenditures 15-22'!I63)+'Expenditures 15-22'!D268-E10</f>
        <v>159505.76</v>
      </c>
      <c r="F30" s="1805"/>
      <c r="G30" s="1807">
        <f>'Expenditures 15-22'!K63-SUM('Expenditures 15-22'!G63,'Expenditures 15-22'!I63)+'Expenditures 15-22'!D268-E10</f>
        <v>159505.76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4127</v>
      </c>
      <c r="F34" s="1805"/>
      <c r="G34" s="1807">
        <f>'Expenditures 15-22'!K68-SUM('Expenditures 15-22'!G68,'Expenditures 15-22'!I68)+'Expenditures 15-22'!D273</f>
        <v>4127</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1286</v>
      </c>
      <c r="E36" s="1807">
        <f>E13</f>
        <v>0</v>
      </c>
      <c r="F36" s="1807">
        <f>'Expenditures 15-22'!K70-SUM('Expenditures 15-22'!G70,'Expenditures 15-22'!I70)+'Expenditures 15-22'!D275-E13</f>
        <v>1286</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5808</v>
      </c>
      <c r="F39" s="1805"/>
      <c r="G39" s="1807">
        <f>'Expenditures 15-22'!K75-SUM('Expenditures 15-22'!G75,'Expenditures 15-22'!I75)+'Expenditures 15-22'!K130-SUM('Expenditures 15-22'!G130,'Expenditures 15-22'!I130)+'Expenditures 15-22'!K185-SUM('Expenditures 15-22'!G185,'Expenditures 15-22'!I185)+'Expenditures 15-22'!D280</f>
        <v>5808</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103132</v>
      </c>
      <c r="E41" s="1809">
        <f>SUM(E19:E40)</f>
        <v>7532716.7599999998</v>
      </c>
      <c r="F41" s="1809">
        <f>SUM(F19:F39)</f>
        <v>877948</v>
      </c>
      <c r="G41" s="1809">
        <f>SUM(G19:G40)</f>
        <v>6757900.7599999998</v>
      </c>
    </row>
    <row r="42" spans="1:7" x14ac:dyDescent="0.2">
      <c r="A42" s="817"/>
      <c r="B42" s="157"/>
      <c r="C42" s="831"/>
      <c r="D42" s="2459" t="s">
        <v>519</v>
      </c>
      <c r="E42" s="2460"/>
      <c r="F42" s="832" t="s">
        <v>520</v>
      </c>
      <c r="G42" s="833"/>
    </row>
    <row r="43" spans="1:7" ht="12" customHeight="1" x14ac:dyDescent="0.2">
      <c r="A43" s="817"/>
      <c r="B43" s="157"/>
      <c r="C43" s="831"/>
      <c r="D43" s="1458" t="s">
        <v>470</v>
      </c>
      <c r="E43" s="1810">
        <f>D41</f>
        <v>103132</v>
      </c>
      <c r="F43" s="1458" t="s">
        <v>470</v>
      </c>
      <c r="G43" s="1810">
        <f>F41</f>
        <v>877948</v>
      </c>
    </row>
    <row r="44" spans="1:7" ht="12" customHeight="1" x14ac:dyDescent="0.2">
      <c r="A44" s="817"/>
      <c r="B44" s="157"/>
      <c r="C44" s="831"/>
      <c r="D44" s="1458" t="s">
        <v>471</v>
      </c>
      <c r="E44" s="1810">
        <f>E41</f>
        <v>7532716.7599999998</v>
      </c>
      <c r="F44" s="1458" t="s">
        <v>471</v>
      </c>
      <c r="G44" s="1810">
        <f>G41</f>
        <v>6757900.7599999998</v>
      </c>
    </row>
    <row r="45" spans="1:7" ht="12" customHeight="1" x14ac:dyDescent="0.2">
      <c r="A45" s="817"/>
      <c r="B45" s="157"/>
      <c r="C45" s="157"/>
      <c r="D45" s="1459" t="s">
        <v>999</v>
      </c>
      <c r="E45" s="1811">
        <f>(E43/E44)</f>
        <v>1.3691209066514802E-2</v>
      </c>
      <c r="F45" s="1459" t="s">
        <v>999</v>
      </c>
      <c r="G45" s="1811">
        <f>(G43/G44)</f>
        <v>0.12991430788634428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78" t="s">
        <v>1363</v>
      </c>
      <c r="B1" s="2478"/>
      <c r="C1" s="2478"/>
      <c r="D1" s="2478"/>
      <c r="E1" s="2478"/>
      <c r="F1" s="247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79" t="s">
        <v>1529</v>
      </c>
      <c r="B5" s="2480"/>
      <c r="C5" s="2481"/>
      <c r="D5" s="2481"/>
      <c r="E5" s="2481"/>
      <c r="F5" s="2481"/>
      <c r="G5" s="1507"/>
      <c r="L5" s="1507"/>
      <c r="M5" s="1855"/>
      <c r="N5" s="1855"/>
      <c r="O5" s="1855"/>
    </row>
    <row r="6" spans="1:15" ht="12" customHeight="1" x14ac:dyDescent="0.25">
      <c r="A6" s="1480"/>
      <c r="B6" s="1481"/>
      <c r="C6" s="2482" t="str">
        <f>COVER!A17</f>
        <v xml:space="preserve">  Mendota Twp HSD 280</v>
      </c>
      <c r="D6" s="2482"/>
      <c r="E6" s="2482"/>
      <c r="F6" s="1482"/>
      <c r="G6" s="1507"/>
      <c r="L6" s="1507"/>
      <c r="M6" s="1855"/>
      <c r="N6" s="1855"/>
      <c r="O6" s="1855"/>
    </row>
    <row r="7" spans="1:15" ht="11.25" customHeight="1" thickBot="1" x14ac:dyDescent="0.3">
      <c r="A7" s="1480"/>
      <c r="B7" s="1481"/>
      <c r="C7" s="2483">
        <f>COVER!A13</f>
        <v>35050280017</v>
      </c>
      <c r="D7" s="2483"/>
      <c r="E7" s="248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2107</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2108</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2109</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2110</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2111</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2112</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2051</v>
      </c>
      <c r="D31" s="1495" t="s">
        <v>2051</v>
      </c>
      <c r="E31" s="1498"/>
      <c r="F31" s="1497" t="s">
        <v>2113</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c r="F32" s="1497" t="s">
        <v>2114</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5"/>
      <c r="N34" s="1855"/>
      <c r="O34" s="1855"/>
    </row>
    <row r="35" spans="1:15" ht="12" customHeight="1" x14ac:dyDescent="0.2">
      <c r="A35" s="1500" t="s">
        <v>1376</v>
      </c>
      <c r="B35" s="1501"/>
      <c r="C35" s="2484"/>
      <c r="D35" s="2484"/>
      <c r="E35" s="2484"/>
      <c r="F35" s="2485"/>
    </row>
    <row r="36" spans="1:15" ht="12" customHeight="1" x14ac:dyDescent="0.2">
      <c r="A36" s="2467"/>
      <c r="B36" s="2468"/>
      <c r="C36" s="2468"/>
      <c r="D36" s="2468"/>
      <c r="E36" s="2468"/>
      <c r="F36" s="2469"/>
    </row>
    <row r="37" spans="1:15" ht="12" customHeight="1" x14ac:dyDescent="0.2">
      <c r="A37" s="2467"/>
      <c r="B37" s="2468"/>
      <c r="C37" s="2468"/>
      <c r="D37" s="2468"/>
      <c r="E37" s="2468"/>
      <c r="F37" s="2469"/>
    </row>
    <row r="38" spans="1:15" ht="12" customHeight="1" x14ac:dyDescent="0.2">
      <c r="A38" s="2470"/>
      <c r="B38" s="2471"/>
      <c r="C38" s="2471"/>
      <c r="D38" s="2471"/>
      <c r="E38" s="2471"/>
      <c r="F38" s="2472"/>
    </row>
    <row r="39" spans="1:15" ht="4.5" hidden="1" customHeight="1" x14ac:dyDescent="0.2">
      <c r="A39" s="1502"/>
      <c r="B39" s="1502"/>
      <c r="C39" s="1502"/>
      <c r="D39" s="1502"/>
      <c r="E39" s="1502"/>
      <c r="F39" s="1502"/>
    </row>
    <row r="40" spans="1:15" s="1499" customFormat="1" ht="12" customHeight="1" x14ac:dyDescent="0.25">
      <c r="A40" s="1503" t="s">
        <v>1375</v>
      </c>
      <c r="B40" s="1504"/>
      <c r="C40" s="2473"/>
      <c r="D40" s="2473"/>
      <c r="E40" s="2473"/>
      <c r="F40" s="2474"/>
      <c r="H40" s="1508"/>
      <c r="I40" s="1508"/>
      <c r="J40" s="1508"/>
      <c r="K40" s="1508"/>
    </row>
    <row r="41" spans="1:15" s="1499" customFormat="1" ht="12" customHeight="1" x14ac:dyDescent="0.25">
      <c r="A41" s="2475"/>
      <c r="B41" s="2476"/>
      <c r="C41" s="2476"/>
      <c r="D41" s="2476"/>
      <c r="E41" s="2476"/>
      <c r="F41" s="2477"/>
      <c r="H41" s="1508"/>
      <c r="I41" s="1508"/>
      <c r="J41" s="1508"/>
      <c r="K41" s="1508"/>
    </row>
    <row r="42" spans="1:15" s="1499" customFormat="1" ht="12" customHeight="1" x14ac:dyDescent="0.25">
      <c r="A42" s="2475"/>
      <c r="B42" s="2476"/>
      <c r="C42" s="2476"/>
      <c r="D42" s="2476"/>
      <c r="E42" s="2476"/>
      <c r="F42" s="2477"/>
      <c r="H42" s="1508"/>
      <c r="I42" s="1508"/>
      <c r="J42" s="1508"/>
      <c r="K42" s="1508"/>
    </row>
    <row r="43" spans="1:15" s="1499" customFormat="1" ht="15" x14ac:dyDescent="0.25">
      <c r="A43" s="2464"/>
      <c r="B43" s="2465"/>
      <c r="C43" s="2465"/>
      <c r="D43" s="2465"/>
      <c r="E43" s="2465"/>
      <c r="F43" s="2466"/>
      <c r="H43" s="1508"/>
      <c r="I43" s="1508"/>
      <c r="J43" s="1508"/>
      <c r="K43" s="1508"/>
    </row>
    <row r="44" spans="1:15" s="1499" customFormat="1" ht="12" hidden="1" customHeight="1" x14ac:dyDescent="0.25">
      <c r="A44" s="2464"/>
      <c r="B44" s="2465"/>
      <c r="C44" s="2465"/>
      <c r="D44" s="2465"/>
      <c r="E44" s="2465"/>
      <c r="F44" s="246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504" t="str">
        <f>COVER!A17</f>
        <v xml:space="preserve">  Mendota Twp HSD 280</v>
      </c>
      <c r="K6" s="2504"/>
      <c r="L6" s="2518"/>
      <c r="M6" s="838"/>
      <c r="N6" s="1999"/>
    </row>
    <row r="7" spans="1:14" x14ac:dyDescent="0.2">
      <c r="A7" s="2519" t="s">
        <v>864</v>
      </c>
      <c r="B7" s="2520"/>
      <c r="C7" s="2520"/>
      <c r="D7" s="2520"/>
      <c r="E7" s="2521"/>
      <c r="F7" s="839"/>
      <c r="G7" s="838"/>
      <c r="H7" s="838"/>
      <c r="I7" s="1925" t="s">
        <v>369</v>
      </c>
      <c r="J7" s="2506">
        <f>COVER!A13</f>
        <v>35050280017</v>
      </c>
      <c r="K7" s="2506"/>
      <c r="L7" s="2506"/>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522" t="s">
        <v>478</v>
      </c>
      <c r="B11" s="2523"/>
      <c r="C11" s="2524"/>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204084</v>
      </c>
      <c r="F12" s="1943"/>
      <c r="G12" s="1969">
        <f>G68</f>
        <v>0</v>
      </c>
      <c r="H12" s="1945">
        <f t="shared" ref="H12:H18" si="0">SUM(E12:G12)</f>
        <v>204084</v>
      </c>
      <c r="I12" s="1944">
        <v>209765</v>
      </c>
      <c r="J12" s="1943"/>
      <c r="K12" s="1944"/>
      <c r="L12" s="1945">
        <f t="shared" ref="L12:L18" si="1">SUM(I12:K12)</f>
        <v>209765</v>
      </c>
      <c r="M12" s="838"/>
      <c r="N12" s="1999"/>
    </row>
    <row r="13" spans="1:14" x14ac:dyDescent="0.2">
      <c r="A13" s="2004">
        <v>2</v>
      </c>
      <c r="B13" s="1941" t="s">
        <v>42</v>
      </c>
      <c r="C13" s="842"/>
      <c r="D13" s="1942">
        <v>2330</v>
      </c>
      <c r="E13" s="1945">
        <f>'Expenditures 15-22'!K51</f>
        <v>4000</v>
      </c>
      <c r="F13" s="1943"/>
      <c r="G13" s="1969">
        <f>H68</f>
        <v>0</v>
      </c>
      <c r="H13" s="1945">
        <f t="shared" si="0"/>
        <v>4000</v>
      </c>
      <c r="I13" s="1944">
        <v>4000</v>
      </c>
      <c r="J13" s="1943"/>
      <c r="K13" s="1944"/>
      <c r="L13" s="1945">
        <f t="shared" si="1"/>
        <v>4000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525" t="s">
        <v>7</v>
      </c>
      <c r="C18" s="2526"/>
      <c r="D18" s="2527"/>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208084</v>
      </c>
      <c r="F19" s="1951">
        <f t="shared" si="2"/>
        <v>0</v>
      </c>
      <c r="G19" s="1951">
        <f t="shared" ref="G19" si="3">SUM(G12:G17)-G18</f>
        <v>0</v>
      </c>
      <c r="H19" s="1951">
        <f t="shared" si="2"/>
        <v>208084</v>
      </c>
      <c r="I19" s="1951">
        <f t="shared" si="2"/>
        <v>213765</v>
      </c>
      <c r="J19" s="1951">
        <f t="shared" si="2"/>
        <v>0</v>
      </c>
      <c r="K19" s="1951">
        <f t="shared" si="2"/>
        <v>0</v>
      </c>
      <c r="L19" s="1951">
        <f t="shared" si="2"/>
        <v>213765</v>
      </c>
      <c r="M19" s="838"/>
      <c r="N19" s="1999"/>
    </row>
    <row r="20" spans="1:14" ht="13.5" thickTop="1" x14ac:dyDescent="0.2">
      <c r="A20" s="2004">
        <v>9</v>
      </c>
      <c r="B20" s="2528" t="s">
        <v>2021</v>
      </c>
      <c r="C20" s="2528"/>
      <c r="D20" s="2529"/>
      <c r="E20" s="1952"/>
      <c r="F20" s="1952"/>
      <c r="G20" s="1952"/>
      <c r="H20" s="1952"/>
      <c r="I20" s="1952"/>
      <c r="J20" s="1952"/>
      <c r="K20" s="1952"/>
      <c r="L20" s="1953">
        <f>IF(AND(H19&gt;0,L19&gt;0),(((L19-H19)/H19)),"Enter Budget Data")</f>
        <v>2.7301474404567386E-2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530"/>
      <c r="D27" s="2530"/>
      <c r="E27" s="843"/>
      <c r="F27" s="2531"/>
      <c r="G27" s="2531"/>
      <c r="H27" s="2531"/>
      <c r="I27" s="838"/>
      <c r="J27" s="838"/>
      <c r="K27" s="838"/>
      <c r="L27" s="838"/>
      <c r="M27" s="838"/>
      <c r="N27" s="1999"/>
    </row>
    <row r="28" spans="1:14" x14ac:dyDescent="0.2">
      <c r="A28" s="1998"/>
      <c r="B28" s="2008"/>
      <c r="C28" s="1958" t="s">
        <v>1026</v>
      </c>
      <c r="D28" s="844"/>
      <c r="E28" s="1959"/>
      <c r="F28" s="2532" t="s">
        <v>1492</v>
      </c>
      <c r="G28" s="2532"/>
      <c r="H28" s="2532"/>
      <c r="I28" s="838"/>
      <c r="J28" s="838"/>
      <c r="K28" s="838"/>
      <c r="L28" s="838"/>
      <c r="M28" s="838"/>
      <c r="N28" s="1999"/>
    </row>
    <row r="29" spans="1:14" x14ac:dyDescent="0.2">
      <c r="A29" s="1998"/>
      <c r="B29" s="2008"/>
      <c r="C29" s="2533"/>
      <c r="D29" s="2533"/>
      <c r="E29" s="845"/>
      <c r="F29" s="2533"/>
      <c r="G29" s="2533"/>
      <c r="H29" s="2533"/>
      <c r="I29" s="838"/>
      <c r="J29" s="838"/>
      <c r="K29" s="838"/>
      <c r="L29" s="838"/>
      <c r="M29" s="838"/>
      <c r="N29" s="1999"/>
    </row>
    <row r="30" spans="1:14" x14ac:dyDescent="0.2">
      <c r="A30" s="1998"/>
      <c r="B30" s="2008"/>
      <c r="C30" s="1961" t="s">
        <v>1544</v>
      </c>
      <c r="D30" s="838"/>
      <c r="E30" s="1960"/>
      <c r="F30" s="2517" t="s">
        <v>1493</v>
      </c>
      <c r="G30" s="2517"/>
      <c r="H30" s="2517"/>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94" t="s">
        <v>2024</v>
      </c>
      <c r="D34" s="2495"/>
      <c r="E34" s="2495"/>
      <c r="F34" s="2495"/>
      <c r="G34" s="2495"/>
      <c r="H34" s="2495"/>
      <c r="I34" s="2495"/>
      <c r="J34" s="2495"/>
      <c r="K34" s="2017"/>
      <c r="L34" s="838"/>
      <c r="M34" s="838"/>
      <c r="N34" s="1999"/>
    </row>
    <row r="35" spans="1:14" x14ac:dyDescent="0.2">
      <c r="A35" s="1998"/>
      <c r="B35" s="838"/>
      <c r="C35" s="2495"/>
      <c r="D35" s="2495"/>
      <c r="E35" s="2495"/>
      <c r="F35" s="2495"/>
      <c r="G35" s="2495"/>
      <c r="H35" s="2495"/>
      <c r="I35" s="2495"/>
      <c r="J35" s="2495"/>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94" t="s">
        <v>2025</v>
      </c>
      <c r="D37" s="2495"/>
      <c r="E37" s="2495"/>
      <c r="F37" s="2495"/>
      <c r="G37" s="2495"/>
      <c r="H37" s="2495"/>
      <c r="I37" s="2495"/>
      <c r="J37" s="2495"/>
      <c r="K37" s="2017"/>
      <c r="L37" s="2019"/>
      <c r="M37" s="838"/>
      <c r="N37" s="1999"/>
    </row>
    <row r="38" spans="1:14" x14ac:dyDescent="0.2">
      <c r="A38" s="1998"/>
      <c r="B38" s="838"/>
      <c r="C38" s="2495"/>
      <c r="D38" s="2495"/>
      <c r="E38" s="2495"/>
      <c r="F38" s="2495"/>
      <c r="G38" s="2495"/>
      <c r="H38" s="2495"/>
      <c r="I38" s="2495"/>
      <c r="J38" s="2495"/>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96" t="s">
        <v>2026</v>
      </c>
      <c r="D40" s="2497"/>
      <c r="E40" s="2497"/>
      <c r="F40" s="2497"/>
      <c r="G40" s="2497"/>
      <c r="H40" s="2497"/>
      <c r="I40" s="2497"/>
      <c r="J40" s="2497"/>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98" t="s">
        <v>2027</v>
      </c>
      <c r="B43" s="2499"/>
      <c r="C43" s="2499"/>
      <c r="D43" s="2499"/>
      <c r="E43" s="2499"/>
      <c r="F43" s="2499"/>
      <c r="G43" s="2499"/>
      <c r="H43" s="2499"/>
      <c r="I43" s="2499"/>
      <c r="J43" s="2499"/>
      <c r="K43" s="2499"/>
      <c r="L43" s="2499"/>
      <c r="M43" s="2499"/>
      <c r="N43" s="2500"/>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501" t="s">
        <v>2029</v>
      </c>
      <c r="B46" s="2502"/>
      <c r="C46" s="2502"/>
      <c r="D46" s="2502"/>
      <c r="E46" s="2502"/>
      <c r="F46" s="2502"/>
      <c r="G46" s="2502"/>
      <c r="H46" s="2502"/>
      <c r="I46" s="2502"/>
      <c r="J46" s="2502"/>
      <c r="K46" s="2502"/>
      <c r="L46" s="2502"/>
      <c r="M46" s="2502"/>
      <c r="N46" s="2503"/>
    </row>
    <row r="47" spans="1:14" x14ac:dyDescent="0.2">
      <c r="A47" s="2501"/>
      <c r="B47" s="2502"/>
      <c r="C47" s="2502"/>
      <c r="D47" s="2502"/>
      <c r="E47" s="2502"/>
      <c r="F47" s="2502"/>
      <c r="G47" s="2502"/>
      <c r="H47" s="2502"/>
      <c r="I47" s="2502"/>
      <c r="J47" s="2502"/>
      <c r="K47" s="2502"/>
      <c r="L47" s="2502"/>
      <c r="M47" s="2502"/>
      <c r="N47" s="2503"/>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504" t="str">
        <f>J6</f>
        <v xml:space="preserve">  Mendota Twp HSD 280</v>
      </c>
      <c r="M52" s="2504"/>
      <c r="N52" s="2505"/>
    </row>
    <row r="53" spans="1:14" x14ac:dyDescent="0.2">
      <c r="A53" s="1983"/>
      <c r="B53" s="1984"/>
      <c r="C53" s="1984"/>
      <c r="D53" s="1984"/>
      <c r="E53" s="1984"/>
      <c r="F53" s="1984"/>
      <c r="G53" s="1984"/>
      <c r="H53" s="1984"/>
      <c r="I53" s="1984"/>
      <c r="J53" s="1984"/>
      <c r="K53" s="1925" t="s">
        <v>369</v>
      </c>
      <c r="L53" s="2506">
        <f>J7</f>
        <v>35050280017</v>
      </c>
      <c r="M53" s="2506"/>
      <c r="N53" s="2507"/>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508"/>
      <c r="B55" s="2509"/>
      <c r="C55" s="2509"/>
      <c r="D55" s="1971"/>
      <c r="E55" s="1971"/>
      <c r="F55" s="1971"/>
      <c r="G55" s="2510" t="s">
        <v>2030</v>
      </c>
      <c r="H55" s="2510"/>
      <c r="I55" s="2510"/>
      <c r="J55" s="2510"/>
      <c r="K55" s="2510"/>
      <c r="L55" s="2510"/>
      <c r="M55" s="2510"/>
      <c r="N55" s="2511"/>
    </row>
    <row r="56" spans="1:14" ht="63.75" x14ac:dyDescent="0.2">
      <c r="A56" s="2512" t="s">
        <v>2031</v>
      </c>
      <c r="B56" s="2513"/>
      <c r="C56" s="2514"/>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515" t="s">
        <v>296</v>
      </c>
      <c r="B57" s="2516"/>
      <c r="C57" s="2516"/>
      <c r="D57" s="1967">
        <v>2361</v>
      </c>
      <c r="E57" s="1977">
        <f>'Expenditures 15-22'!K319</f>
        <v>0</v>
      </c>
      <c r="F57" s="1973"/>
      <c r="G57" s="2030"/>
      <c r="H57" s="2031"/>
      <c r="I57" s="2031"/>
      <c r="J57" s="2031"/>
      <c r="K57" s="2031"/>
      <c r="L57" s="2031"/>
      <c r="M57" s="2031">
        <v>0</v>
      </c>
      <c r="N57" s="1976">
        <f>IF((SUM(G57:M57))=E57,SUM(G57:M57),"Column N does not agree with Column E")</f>
        <v>0</v>
      </c>
    </row>
    <row r="58" spans="1:14" ht="24" customHeight="1" x14ac:dyDescent="0.2">
      <c r="A58" s="2492" t="s">
        <v>2041</v>
      </c>
      <c r="B58" s="2493"/>
      <c r="C58" s="2493"/>
      <c r="D58" s="1968">
        <v>2362</v>
      </c>
      <c r="E58" s="1978">
        <f>'Expenditures 15-22'!K320</f>
        <v>43339</v>
      </c>
      <c r="F58" s="1973"/>
      <c r="G58" s="2032"/>
      <c r="H58" s="2033"/>
      <c r="I58" s="2033"/>
      <c r="J58" s="2033"/>
      <c r="K58" s="2033"/>
      <c r="L58" s="2033"/>
      <c r="M58" s="2033">
        <v>43339</v>
      </c>
      <c r="N58" s="1976">
        <f>IF((SUM(G58:M58))=E58,SUM(G58:M58),"Column N does not agree with Column E")</f>
        <v>43339</v>
      </c>
    </row>
    <row r="59" spans="1:14" ht="24.75" customHeight="1" x14ac:dyDescent="0.2">
      <c r="A59" s="2486" t="s">
        <v>297</v>
      </c>
      <c r="B59" s="2487"/>
      <c r="C59" s="2487"/>
      <c r="D59" s="1968">
        <v>2363</v>
      </c>
      <c r="E59" s="1978">
        <f>'Expenditures 15-22'!K321</f>
        <v>0</v>
      </c>
      <c r="F59" s="1973"/>
      <c r="G59" s="2032"/>
      <c r="H59" s="2033"/>
      <c r="I59" s="2033"/>
      <c r="J59" s="2033"/>
      <c r="K59" s="2033"/>
      <c r="L59" s="2033"/>
      <c r="M59" s="2033">
        <v>0</v>
      </c>
      <c r="N59" s="1976">
        <f>IF((SUM(G59:M59))=E59,SUM(G59:M59),"Column N does not agree with Column E")</f>
        <v>0</v>
      </c>
    </row>
    <row r="60" spans="1:14" ht="24" customHeight="1" x14ac:dyDescent="0.2">
      <c r="A60" s="2486" t="s">
        <v>236</v>
      </c>
      <c r="B60" s="2487"/>
      <c r="C60" s="2487"/>
      <c r="D60" s="1968">
        <v>2364</v>
      </c>
      <c r="E60" s="1978">
        <f>'Expenditures 15-22'!K322</f>
        <v>58610</v>
      </c>
      <c r="F60" s="1973"/>
      <c r="G60" s="2032"/>
      <c r="H60" s="2033"/>
      <c r="I60" s="2033"/>
      <c r="J60" s="2033"/>
      <c r="K60" s="2033"/>
      <c r="L60" s="2033"/>
      <c r="M60" s="2033">
        <v>58610</v>
      </c>
      <c r="N60" s="1976">
        <f t="shared" ref="N60:N67" si="4">IF((SUM(G60:M60))=E60,SUM(G60:M60),"Column N does not agree with Column E")</f>
        <v>58610</v>
      </c>
    </row>
    <row r="61" spans="1:14" ht="24.75" customHeight="1" x14ac:dyDescent="0.2">
      <c r="A61" s="2486" t="s">
        <v>697</v>
      </c>
      <c r="B61" s="2487"/>
      <c r="C61" s="2487"/>
      <c r="D61" s="1968">
        <v>2365</v>
      </c>
      <c r="E61" s="1978">
        <f>'Expenditures 15-22'!K323</f>
        <v>115500</v>
      </c>
      <c r="F61" s="1973"/>
      <c r="G61" s="2032"/>
      <c r="H61" s="2033"/>
      <c r="I61" s="2033"/>
      <c r="J61" s="2033"/>
      <c r="K61" s="2033"/>
      <c r="L61" s="2033"/>
      <c r="M61" s="2033">
        <v>115500</v>
      </c>
      <c r="N61" s="1976">
        <f t="shared" si="4"/>
        <v>115500</v>
      </c>
    </row>
    <row r="62" spans="1:14" ht="24" customHeight="1" x14ac:dyDescent="0.2">
      <c r="A62" s="2486" t="s">
        <v>237</v>
      </c>
      <c r="B62" s="2487"/>
      <c r="C62" s="2487"/>
      <c r="D62" s="1968">
        <v>2366</v>
      </c>
      <c r="E62" s="1978">
        <f>'Expenditures 15-22'!K324</f>
        <v>0</v>
      </c>
      <c r="F62" s="1973"/>
      <c r="G62" s="2032"/>
      <c r="H62" s="2033"/>
      <c r="I62" s="2033"/>
      <c r="J62" s="2033"/>
      <c r="K62" s="2033"/>
      <c r="L62" s="2033"/>
      <c r="M62" s="2033">
        <v>0</v>
      </c>
      <c r="N62" s="1976">
        <f t="shared" si="4"/>
        <v>0</v>
      </c>
    </row>
    <row r="63" spans="1:14" ht="24" customHeight="1" x14ac:dyDescent="0.2">
      <c r="A63" s="2492" t="s">
        <v>1022</v>
      </c>
      <c r="B63" s="2493"/>
      <c r="C63" s="2493"/>
      <c r="D63" s="1968">
        <v>2367</v>
      </c>
      <c r="E63" s="1978">
        <f>'Expenditures 15-22'!K325</f>
        <v>0</v>
      </c>
      <c r="F63" s="1973"/>
      <c r="G63" s="2032"/>
      <c r="H63" s="2033"/>
      <c r="I63" s="2033"/>
      <c r="J63" s="2033"/>
      <c r="K63" s="2033"/>
      <c r="L63" s="2033"/>
      <c r="M63" s="2033">
        <v>0</v>
      </c>
      <c r="N63" s="1976">
        <f t="shared" si="4"/>
        <v>0</v>
      </c>
    </row>
    <row r="64" spans="1:14" ht="24" customHeight="1" x14ac:dyDescent="0.2">
      <c r="A64" s="2486" t="s">
        <v>1023</v>
      </c>
      <c r="B64" s="2487"/>
      <c r="C64" s="2487"/>
      <c r="D64" s="1968">
        <v>2368</v>
      </c>
      <c r="E64" s="1978">
        <f>'Expenditures 15-22'!K326</f>
        <v>0</v>
      </c>
      <c r="F64" s="1973"/>
      <c r="G64" s="2032"/>
      <c r="H64" s="2033"/>
      <c r="I64" s="2033"/>
      <c r="J64" s="2033"/>
      <c r="K64" s="2033"/>
      <c r="L64" s="2033"/>
      <c r="M64" s="2033">
        <v>0</v>
      </c>
      <c r="N64" s="1976">
        <f t="shared" si="4"/>
        <v>0</v>
      </c>
    </row>
    <row r="65" spans="1:14" ht="24" customHeight="1" x14ac:dyDescent="0.2">
      <c r="A65" s="2486" t="s">
        <v>965</v>
      </c>
      <c r="B65" s="2487"/>
      <c r="C65" s="2487"/>
      <c r="D65" s="1968">
        <v>2369</v>
      </c>
      <c r="E65" s="1978">
        <f>'Expenditures 15-22'!K327</f>
        <v>18230</v>
      </c>
      <c r="F65" s="1973"/>
      <c r="G65" s="2032"/>
      <c r="H65" s="2033"/>
      <c r="I65" s="2033"/>
      <c r="J65" s="2033"/>
      <c r="K65" s="2033"/>
      <c r="L65" s="2033"/>
      <c r="M65" s="2033">
        <v>18230</v>
      </c>
      <c r="N65" s="1976">
        <f t="shared" si="4"/>
        <v>18230</v>
      </c>
    </row>
    <row r="66" spans="1:14" ht="24" customHeight="1" x14ac:dyDescent="0.2">
      <c r="A66" s="2486" t="s">
        <v>469</v>
      </c>
      <c r="B66" s="2487"/>
      <c r="C66" s="2487"/>
      <c r="D66" s="1968">
        <v>2371</v>
      </c>
      <c r="E66" s="1978">
        <f>'Expenditures 15-22'!K328</f>
        <v>0</v>
      </c>
      <c r="F66" s="1973"/>
      <c r="G66" s="2032"/>
      <c r="H66" s="2033"/>
      <c r="I66" s="2033"/>
      <c r="J66" s="2033"/>
      <c r="K66" s="2033"/>
      <c r="L66" s="2033"/>
      <c r="M66" s="2033">
        <v>0</v>
      </c>
      <c r="N66" s="1976">
        <f t="shared" si="4"/>
        <v>0</v>
      </c>
    </row>
    <row r="67" spans="1:14" ht="24.75" customHeight="1" x14ac:dyDescent="0.2">
      <c r="A67" s="2488" t="s">
        <v>2042</v>
      </c>
      <c r="B67" s="2489"/>
      <c r="C67" s="2489"/>
      <c r="D67" s="1970">
        <v>2372</v>
      </c>
      <c r="E67" s="1979">
        <f>'Expenditures 15-22'!K329</f>
        <v>0</v>
      </c>
      <c r="F67" s="1973"/>
      <c r="G67" s="2034"/>
      <c r="H67" s="2035"/>
      <c r="I67" s="2035"/>
      <c r="J67" s="2035"/>
      <c r="K67" s="2035"/>
      <c r="L67" s="2035"/>
      <c r="M67" s="2035">
        <v>0</v>
      </c>
      <c r="N67" s="1976">
        <f t="shared" si="4"/>
        <v>0</v>
      </c>
    </row>
    <row r="68" spans="1:14" x14ac:dyDescent="0.2">
      <c r="A68" s="2490" t="s">
        <v>1151</v>
      </c>
      <c r="B68" s="2491"/>
      <c r="C68" s="2491"/>
      <c r="D68" s="1971"/>
      <c r="E68" s="1975">
        <f>SUM(E57:E67)</f>
        <v>235679</v>
      </c>
      <c r="F68" s="1974"/>
      <c r="G68" s="1975">
        <f t="shared" ref="G68:N68" si="5">SUM(G57:G67)</f>
        <v>0</v>
      </c>
      <c r="H68" s="1975">
        <f t="shared" si="5"/>
        <v>0</v>
      </c>
      <c r="I68" s="1975">
        <f t="shared" si="5"/>
        <v>0</v>
      </c>
      <c r="J68" s="1975">
        <f t="shared" si="5"/>
        <v>0</v>
      </c>
      <c r="K68" s="1975">
        <f t="shared" si="5"/>
        <v>0</v>
      </c>
      <c r="L68" s="1975">
        <f t="shared" si="5"/>
        <v>0</v>
      </c>
      <c r="M68" s="1975">
        <f t="shared" si="5"/>
        <v>235679</v>
      </c>
      <c r="N68" s="1989">
        <f t="shared" si="5"/>
        <v>235679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2120</v>
      </c>
    </row>
    <row r="6" spans="1:2" x14ac:dyDescent="0.2">
      <c r="A6" s="847">
        <v>2</v>
      </c>
      <c r="B6" s="307" t="s">
        <v>2119</v>
      </c>
    </row>
    <row r="7" spans="1:2" x14ac:dyDescent="0.2">
      <c r="A7" s="847">
        <v>3</v>
      </c>
      <c r="B7" s="307" t="s">
        <v>2115</v>
      </c>
    </row>
    <row r="8" spans="1:2" x14ac:dyDescent="0.2">
      <c r="A8" s="847">
        <v>4</v>
      </c>
      <c r="B8" s="307" t="s">
        <v>2127</v>
      </c>
    </row>
    <row r="9" spans="1:2" x14ac:dyDescent="0.2">
      <c r="A9" s="847"/>
      <c r="B9" s="307" t="s">
        <v>2124</v>
      </c>
    </row>
    <row r="10" spans="1:2" x14ac:dyDescent="0.2">
      <c r="A10" s="847"/>
      <c r="B10" s="307" t="s">
        <v>2125</v>
      </c>
    </row>
    <row r="11" spans="1:2" x14ac:dyDescent="0.2">
      <c r="A11" s="847"/>
      <c r="B11" s="307" t="s">
        <v>2126</v>
      </c>
    </row>
    <row r="12" spans="1:2" x14ac:dyDescent="0.2">
      <c r="A12" s="847">
        <v>5</v>
      </c>
      <c r="B12" s="307" t="s">
        <v>2118</v>
      </c>
    </row>
    <row r="13" spans="1:2" x14ac:dyDescent="0.2">
      <c r="A13" s="847">
        <v>6</v>
      </c>
      <c r="B13" s="307" t="s">
        <v>2117</v>
      </c>
    </row>
    <row r="14" spans="1:2" x14ac:dyDescent="0.2">
      <c r="A14" s="847">
        <v>7</v>
      </c>
      <c r="B14" s="307" t="s">
        <v>2116</v>
      </c>
    </row>
    <row r="15" spans="1:2" x14ac:dyDescent="0.2">
      <c r="A15" s="847">
        <v>8</v>
      </c>
      <c r="B15" s="307" t="s">
        <v>2121</v>
      </c>
    </row>
    <row r="16" spans="1:2" x14ac:dyDescent="0.2">
      <c r="A16" s="847">
        <v>9</v>
      </c>
      <c r="B16" s="307" t="s">
        <v>2122</v>
      </c>
    </row>
    <row r="17" spans="1:2" x14ac:dyDescent="0.2">
      <c r="A17" s="847">
        <v>10</v>
      </c>
      <c r="B17" s="307" t="s">
        <v>2123</v>
      </c>
    </row>
    <row r="18" spans="1:2" x14ac:dyDescent="0.2">
      <c r="A18" s="847">
        <v>11</v>
      </c>
      <c r="B18" s="307" t="s">
        <v>2128</v>
      </c>
    </row>
    <row r="19" spans="1:2" x14ac:dyDescent="0.2">
      <c r="A19" s="848"/>
      <c r="B19" s="307" t="s">
        <v>2129</v>
      </c>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Mendota Twp HSD 280</v>
      </c>
    </row>
    <row r="64" spans="1:2" x14ac:dyDescent="0.2">
      <c r="B64" s="849">
        <f>COVER!A13</f>
        <v>35050280017</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34" t="s">
        <v>1665</v>
      </c>
      <c r="B18" s="253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5" t="s">
        <v>1669</v>
      </c>
      <c r="B1" s="2536"/>
      <c r="C1" s="2536"/>
      <c r="D1" s="2536"/>
      <c r="E1" s="2536"/>
      <c r="F1" s="2537"/>
    </row>
    <row r="2" spans="1:8" ht="45" customHeight="1" x14ac:dyDescent="0.2">
      <c r="A2" s="254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6"/>
      <c r="C2" s="2546"/>
      <c r="D2" s="2546"/>
      <c r="E2" s="2546"/>
      <c r="F2" s="2547"/>
      <c r="G2" s="853"/>
      <c r="H2" s="853"/>
    </row>
    <row r="3" spans="1:8" ht="57" customHeight="1" x14ac:dyDescent="0.2">
      <c r="A3" s="2548" t="s">
        <v>1972</v>
      </c>
      <c r="B3" s="2549"/>
      <c r="C3" s="2549"/>
      <c r="D3" s="2549"/>
      <c r="E3" s="2549"/>
      <c r="F3" s="2550"/>
      <c r="G3" s="853"/>
      <c r="H3" s="853"/>
    </row>
    <row r="4" spans="1:8" ht="14.25" customHeight="1" x14ac:dyDescent="0.2">
      <c r="A4" s="255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5"/>
      <c r="C4" s="2555"/>
      <c r="D4" s="2555"/>
      <c r="E4" s="2555"/>
      <c r="F4" s="2556"/>
      <c r="G4" s="853"/>
      <c r="H4" s="853"/>
    </row>
    <row r="5" spans="1:8" ht="14.25" customHeight="1" x14ac:dyDescent="0.2">
      <c r="A5" s="255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8"/>
      <c r="C5" s="2558"/>
      <c r="D5" s="2558"/>
      <c r="E5" s="2558"/>
      <c r="F5" s="2559"/>
      <c r="G5" s="853"/>
      <c r="H5" s="853"/>
    </row>
    <row r="6" spans="1:8" s="854" customFormat="1" ht="41.25" customHeight="1" x14ac:dyDescent="0.2">
      <c r="A6" s="2551" t="s">
        <v>1670</v>
      </c>
      <c r="B6" s="2552"/>
      <c r="C6" s="2552"/>
      <c r="D6" s="2552"/>
      <c r="E6" s="2552"/>
      <c r="F6" s="255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6362169</v>
      </c>
      <c r="C8" s="1813">
        <f>'Acct Summary 7-8'!D8</f>
        <v>948968</v>
      </c>
      <c r="D8" s="1813">
        <f>'Acct Summary 7-8'!F8</f>
        <v>909755</v>
      </c>
      <c r="E8" s="1813">
        <f>'Acct Summary 7-8'!I8</f>
        <v>171782</v>
      </c>
      <c r="F8" s="1813">
        <f>SUM(B8:E8)</f>
        <v>8392674</v>
      </c>
    </row>
    <row r="9" spans="1:8" s="858" customFormat="1" ht="14.25" customHeight="1" thickBot="1" x14ac:dyDescent="0.25">
      <c r="A9" s="857" t="s">
        <v>1353</v>
      </c>
      <c r="B9" s="1814">
        <f>'Acct Summary 7-8'!C17</f>
        <v>6084552</v>
      </c>
      <c r="C9" s="1814">
        <f>'Acct Summary 7-8'!D17</f>
        <v>683552</v>
      </c>
      <c r="D9" s="1814">
        <f>'Acct Summary 7-8'!F17</f>
        <v>932506</v>
      </c>
      <c r="E9" s="1813"/>
      <c r="F9" s="1813">
        <f>SUM(B9:E9)</f>
        <v>7700610</v>
      </c>
    </row>
    <row r="10" spans="1:8" s="858" customFormat="1" ht="14.25" thickTop="1" thickBot="1" x14ac:dyDescent="0.25">
      <c r="A10" s="859" t="s">
        <v>1354</v>
      </c>
      <c r="B10" s="1815">
        <f>(B8-B9)</f>
        <v>277617</v>
      </c>
      <c r="C10" s="1815">
        <f>(C8-C9)</f>
        <v>265416</v>
      </c>
      <c r="D10" s="1815">
        <f>(D8-D9)</f>
        <v>-22751</v>
      </c>
      <c r="E10" s="1814">
        <f>(E8-E9)</f>
        <v>171782</v>
      </c>
      <c r="F10" s="1816">
        <f>SUM(F8-F9)</f>
        <v>692064</v>
      </c>
    </row>
    <row r="11" spans="1:8" s="858" customFormat="1" ht="14.25" thickTop="1" thickBot="1" x14ac:dyDescent="0.25">
      <c r="A11" s="860" t="s">
        <v>1903</v>
      </c>
      <c r="B11" s="1817">
        <f>'Acct Summary 7-8'!C81</f>
        <v>2760487</v>
      </c>
      <c r="C11" s="1817">
        <f>'Acct Summary 7-8'!D81</f>
        <v>985901</v>
      </c>
      <c r="D11" s="1817">
        <f>'Acct Summary 7-8'!F81</f>
        <v>509370</v>
      </c>
      <c r="E11" s="1817">
        <f>'Acct Summary 7-8'!I81</f>
        <v>2952241</v>
      </c>
      <c r="F11" s="1818">
        <f>SUM(B11:E11)</f>
        <v>7207999</v>
      </c>
    </row>
    <row r="12" spans="1:8" ht="16.5" customHeight="1" thickTop="1" x14ac:dyDescent="0.2">
      <c r="A12" s="861"/>
      <c r="B12" s="862"/>
      <c r="C12" s="2539" t="str">
        <f>IF(AND(F10&lt;0,F11&gt;=0,ABS(F10*3)&gt;ABS(F11)),A16,IF(AND(F10&lt;0,F11&gt;0,ABS(F10*3)&lt;=ABS(F11)),A17,IF(AND(F10&lt;0,F11&lt;0),A16,IF(F11=0,A19,A18))))</f>
        <v>Balanced - no deficit reduction plan is required.</v>
      </c>
      <c r="D12" s="2540"/>
      <c r="E12" s="2540"/>
      <c r="F12" s="2541"/>
    </row>
    <row r="13" spans="1:8" ht="19.5" customHeight="1" x14ac:dyDescent="0.2">
      <c r="A13" s="863"/>
      <c r="B13" s="864"/>
      <c r="C13" s="2539"/>
      <c r="D13" s="2540"/>
      <c r="E13" s="2540"/>
      <c r="F13" s="2541"/>
      <c r="H13" s="853"/>
    </row>
    <row r="14" spans="1:8" ht="19.5" customHeight="1" x14ac:dyDescent="0.2">
      <c r="A14" s="863"/>
      <c r="B14" s="864"/>
      <c r="C14" s="2539"/>
      <c r="D14" s="2540"/>
      <c r="E14" s="2540"/>
      <c r="F14" s="2541"/>
      <c r="H14" s="853"/>
    </row>
    <row r="15" spans="1:8" ht="17.25" customHeight="1" x14ac:dyDescent="0.2">
      <c r="A15" s="863"/>
      <c r="B15" s="864"/>
      <c r="C15" s="2542"/>
      <c r="D15" s="2543"/>
      <c r="E15" s="2543"/>
      <c r="F15" s="2544"/>
      <c r="H15" s="853"/>
    </row>
    <row r="16" spans="1:8" s="288" customFormat="1" ht="51.75" hidden="1" customHeight="1" x14ac:dyDescent="0.2">
      <c r="A16" s="2538" t="s">
        <v>1666</v>
      </c>
      <c r="B16" s="2538"/>
      <c r="C16" s="2538"/>
      <c r="D16" s="2538"/>
      <c r="E16" s="253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0" t="s">
        <v>660</v>
      </c>
      <c r="B3" s="2561"/>
      <c r="C3" s="2561"/>
      <c r="D3" s="256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71" t="s">
        <v>1487</v>
      </c>
      <c r="D7" s="257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63" t="s">
        <v>1001</v>
      </c>
      <c r="B15" s="2564"/>
      <c r="C15" s="2564"/>
      <c r="D15" s="2565"/>
    </row>
    <row r="16" spans="1:4" s="542" customFormat="1" ht="24" customHeight="1" x14ac:dyDescent="0.2">
      <c r="A16" s="2566" t="s">
        <v>658</v>
      </c>
      <c r="B16" s="2567"/>
      <c r="C16" s="2567"/>
      <c r="D16" s="256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75" t="s">
        <v>311</v>
      </c>
      <c r="D21" s="2576"/>
    </row>
    <row r="22" spans="1:10" ht="12.75" x14ac:dyDescent="0.2">
      <c r="A22" s="918"/>
      <c r="B22" s="919">
        <v>2</v>
      </c>
      <c r="C22" s="2573" t="s">
        <v>1507</v>
      </c>
      <c r="D22" s="257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77" t="s">
        <v>533</v>
      </c>
      <c r="D43" s="257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69" t="s">
        <v>779</v>
      </c>
      <c r="D56" s="257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69" t="s">
        <v>1674</v>
      </c>
      <c r="D70" s="257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35050280017</v>
      </c>
      <c r="E2" s="1542">
        <v>2020</v>
      </c>
      <c r="F2" s="1542">
        <v>1</v>
      </c>
      <c r="G2" s="1899">
        <v>101000300</v>
      </c>
    </row>
    <row r="3" spans="1:7" ht="15" x14ac:dyDescent="0.25">
      <c r="A3" t="s">
        <v>950</v>
      </c>
      <c r="B3" s="135" t="str">
        <f>COVER!A15</f>
        <v>LaSalle</v>
      </c>
      <c r="E3" s="1830" t="s">
        <v>1971</v>
      </c>
      <c r="F3" s="1830" t="s">
        <v>1970</v>
      </c>
      <c r="G3" s="1899">
        <v>101000400</v>
      </c>
    </row>
    <row r="4" spans="1:7" ht="15" x14ac:dyDescent="0.25">
      <c r="A4" t="s">
        <v>1000</v>
      </c>
      <c r="B4" s="135" t="str">
        <f>COVER!A17</f>
        <v xml:space="preserve">  Mendota Twp HSD 280</v>
      </c>
      <c r="E4" s="1828">
        <v>44119</v>
      </c>
      <c r="F4" s="1829">
        <v>44151</v>
      </c>
      <c r="G4" s="1899">
        <v>101000600</v>
      </c>
    </row>
    <row r="5" spans="1:7" ht="15" x14ac:dyDescent="0.25">
      <c r="A5" t="s">
        <v>699</v>
      </c>
      <c r="B5" s="135" t="str">
        <f>COVER!A38</f>
        <v>Jeff Prusator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2289629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2779863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14476</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19376</v>
      </c>
      <c r="C91" s="2" t="s">
        <v>569</v>
      </c>
      <c r="D91" s="2" t="str">
        <f t="shared" si="0"/>
        <v>Error?</v>
      </c>
      <c r="G91" s="1899">
        <v>102640400</v>
      </c>
    </row>
    <row r="92" spans="1:7" ht="15" x14ac:dyDescent="0.25">
      <c r="A92" s="5">
        <v>31</v>
      </c>
      <c r="B92" s="1832">
        <f>'Assets-Liab 5-6'!C39</f>
        <v>2626538</v>
      </c>
      <c r="D92" s="2" t="str">
        <f t="shared" si="0"/>
        <v>Error?</v>
      </c>
      <c r="G92" s="1899">
        <v>102640600</v>
      </c>
    </row>
    <row r="93" spans="1:7" ht="15" x14ac:dyDescent="0.25">
      <c r="A93" s="5">
        <v>32</v>
      </c>
      <c r="B93" s="1832">
        <f>'Assets-Liab 5-6'!C41</f>
        <v>2779863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3187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987414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1513</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1513</v>
      </c>
      <c r="C122" s="2" t="s">
        <v>569</v>
      </c>
      <c r="D122" s="2" t="str">
        <f t="shared" si="0"/>
        <v>Error?</v>
      </c>
      <c r="G122" s="1899">
        <v>203000300</v>
      </c>
    </row>
    <row r="123" spans="1:7" ht="15" x14ac:dyDescent="0.25">
      <c r="A123" s="5">
        <v>62</v>
      </c>
      <c r="B123" s="1832">
        <f>'Assets-Liab 5-6'!D39</f>
        <v>839563</v>
      </c>
      <c r="D123" s="2" t="str">
        <f t="shared" si="0"/>
        <v>Error?</v>
      </c>
      <c r="G123" s="1899">
        <v>203000400</v>
      </c>
    </row>
    <row r="124" spans="1:7" ht="15" x14ac:dyDescent="0.25">
      <c r="A124" s="5">
        <v>63</v>
      </c>
      <c r="B124" s="1832">
        <f>'Assets-Liab 5-6'!D41</f>
        <v>987414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114780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114780</v>
      </c>
      <c r="D140" s="2" t="str">
        <f t="shared" si="1"/>
        <v>Error?</v>
      </c>
    </row>
    <row r="141" spans="1:7" x14ac:dyDescent="0.2">
      <c r="A141" s="5">
        <v>80</v>
      </c>
      <c r="B141" s="1832">
        <f>'Assets-Liab 5-6'!E41</f>
        <v>114780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164246</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510095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725</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725</v>
      </c>
      <c r="C169" s="2" t="s">
        <v>569</v>
      </c>
      <c r="D169" s="2" t="str">
        <f t="shared" si="1"/>
        <v>Error?</v>
      </c>
    </row>
    <row r="170" spans="1:4" x14ac:dyDescent="0.2">
      <c r="A170" s="5">
        <v>109</v>
      </c>
      <c r="B170" s="1832">
        <f>'Assets-Liab 5-6'!F39</f>
        <v>509370</v>
      </c>
      <c r="D170" s="2" t="str">
        <f t="shared" si="1"/>
        <v>Error?</v>
      </c>
    </row>
    <row r="171" spans="1:4" x14ac:dyDescent="0.2">
      <c r="A171" s="5">
        <v>110</v>
      </c>
      <c r="B171" s="1832">
        <f>'Assets-Liab 5-6'!F41</f>
        <v>510095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309621</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502215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344026</v>
      </c>
      <c r="D189" s="2" t="str">
        <f t="shared" si="1"/>
        <v>Error?</v>
      </c>
    </row>
    <row r="190" spans="1:4" x14ac:dyDescent="0.2">
      <c r="A190" s="5">
        <v>129</v>
      </c>
      <c r="B190" s="1832">
        <f>'Assets-Liab 5-6'!G41</f>
        <v>502215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1087355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937036</v>
      </c>
      <c r="D212" s="2" t="str">
        <f t="shared" si="2"/>
        <v>Error?</v>
      </c>
    </row>
    <row r="213" spans="1:4" x14ac:dyDescent="0.2">
      <c r="A213" s="12">
        <v>152</v>
      </c>
      <c r="B213" s="1832">
        <f>'Assets-Liab 5-6'!H41</f>
        <v>1087355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767552</v>
      </c>
      <c r="D273" s="2" t="str">
        <f t="shared" si="3"/>
        <v>Error?</v>
      </c>
    </row>
    <row r="274" spans="1:4" x14ac:dyDescent="0.2">
      <c r="A274" s="5">
        <v>213</v>
      </c>
      <c r="B274" s="1832">
        <f>'Assets-Liab 5-6'!M17</f>
        <v>23912679</v>
      </c>
      <c r="D274" s="2" t="str">
        <f t="shared" si="3"/>
        <v>Error?</v>
      </c>
    </row>
    <row r="275" spans="1:4" x14ac:dyDescent="0.2">
      <c r="A275" s="5">
        <v>214</v>
      </c>
      <c r="B275" s="1832">
        <f>'Assets-Liab 5-6'!M18</f>
        <v>5812568</v>
      </c>
      <c r="D275" s="2" t="str">
        <f t="shared" si="3"/>
        <v>Error?</v>
      </c>
    </row>
    <row r="276" spans="1:4" x14ac:dyDescent="0.2">
      <c r="A276" s="5">
        <v>215</v>
      </c>
      <c r="B276" s="1832">
        <f>'Assets-Liab 5-6'!M19</f>
        <v>2541393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33034192</v>
      </c>
      <c r="C279" s="2" t="s">
        <v>569</v>
      </c>
      <c r="D279" s="2" t="str">
        <f t="shared" si="3"/>
        <v>Error?</v>
      </c>
    </row>
    <row r="280" spans="1:4" x14ac:dyDescent="0.2">
      <c r="A280" s="5">
        <v>219</v>
      </c>
      <c r="B280" s="1832">
        <f>'Assets-Liab 5-6'!M40</f>
        <v>33034192</v>
      </c>
      <c r="D280" s="2" t="str">
        <f t="shared" si="3"/>
        <v>Error?</v>
      </c>
    </row>
    <row r="281" spans="1:4" x14ac:dyDescent="0.2">
      <c r="A281" s="5">
        <v>220</v>
      </c>
      <c r="B281" s="1832">
        <f>'Assets-Liab 5-6'!M41</f>
        <v>33034192</v>
      </c>
      <c r="C281" s="2" t="s">
        <v>569</v>
      </c>
      <c r="D281" s="2" t="str">
        <f t="shared" si="3"/>
        <v>Error?</v>
      </c>
    </row>
    <row r="282" spans="1:4" x14ac:dyDescent="0.2">
      <c r="A282" s="5">
        <v>221</v>
      </c>
      <c r="B282" s="1832">
        <f>'Assets-Liab 5-6'!N21</f>
        <v>114780</v>
      </c>
      <c r="D282" s="2" t="str">
        <f t="shared" si="3"/>
        <v>Error?</v>
      </c>
    </row>
    <row r="283" spans="1:4" x14ac:dyDescent="0.2">
      <c r="A283" s="5">
        <v>222</v>
      </c>
      <c r="B283" s="1832">
        <f>'Assets-Liab 5-6'!N22</f>
        <v>2025220</v>
      </c>
      <c r="D283" s="2" t="str">
        <f t="shared" si="3"/>
        <v>Error?</v>
      </c>
    </row>
    <row r="284" spans="1:4" x14ac:dyDescent="0.2">
      <c r="A284" s="5">
        <v>223</v>
      </c>
      <c r="B284" s="1832">
        <f>'Assets-Liab 5-6'!N23</f>
        <v>2140000</v>
      </c>
      <c r="C284" s="2" t="s">
        <v>569</v>
      </c>
      <c r="D284" s="2" t="str">
        <f t="shared" si="3"/>
        <v>Error?</v>
      </c>
    </row>
    <row r="285" spans="1:4" x14ac:dyDescent="0.2">
      <c r="A285" s="5">
        <v>224</v>
      </c>
      <c r="B285" s="1832">
        <f>'Assets-Liab 5-6'!N36</f>
        <v>2140000</v>
      </c>
      <c r="D285" s="2" t="str">
        <f t="shared" si="3"/>
        <v>Error?</v>
      </c>
    </row>
    <row r="286" spans="1:4" x14ac:dyDescent="0.2">
      <c r="A286" s="10">
        <v>225</v>
      </c>
      <c r="B286" s="1832"/>
      <c r="D286" s="2" t="str">
        <f t="shared" si="3"/>
        <v>OK</v>
      </c>
    </row>
    <row r="287" spans="1:4" x14ac:dyDescent="0.2">
      <c r="A287" s="5">
        <v>226</v>
      </c>
      <c r="B287" s="1832">
        <f>'Assets-Liab 5-6'!N37</f>
        <v>2140000</v>
      </c>
      <c r="C287" s="2" t="s">
        <v>569</v>
      </c>
      <c r="D287" s="2" t="str">
        <f t="shared" si="3"/>
        <v>Error?</v>
      </c>
    </row>
    <row r="288" spans="1:4" x14ac:dyDescent="0.2">
      <c r="A288" s="5">
        <v>227</v>
      </c>
      <c r="B288" s="1832">
        <f>'Assets-Liab 5-6'!N41</f>
        <v>2140000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4557</v>
      </c>
      <c r="D500" s="2" t="str">
        <f t="shared" si="6"/>
        <v>Error?</v>
      </c>
    </row>
    <row r="501" spans="1:4" x14ac:dyDescent="0.2">
      <c r="A501" s="5">
        <v>440</v>
      </c>
      <c r="B501" s="1832">
        <f>'Acct Summary 7-8'!E35</f>
        <v>29040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1485000</v>
      </c>
      <c r="D651" s="2" t="str">
        <f t="shared" si="9"/>
        <v>Error?</v>
      </c>
    </row>
    <row r="652" spans="1:4" x14ac:dyDescent="0.2">
      <c r="A652" s="5">
        <v>591</v>
      </c>
      <c r="B652" s="1832">
        <f>'Acct Summary 7-8'!I34</f>
        <v>15000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2318171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61059</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11027</v>
      </c>
      <c r="D717" s="2" t="str">
        <f t="shared" si="10"/>
        <v>Error?</v>
      </c>
    </row>
    <row r="718" spans="1:4" x14ac:dyDescent="0.2">
      <c r="A718" s="5">
        <v>657</v>
      </c>
      <c r="B718" s="1832">
        <f>'Expenditures 15-22'!C14</f>
        <v>297887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3359839</v>
      </c>
      <c r="C720" s="2" t="s">
        <v>569</v>
      </c>
      <c r="D720" s="2" t="str">
        <f t="shared" si="10"/>
        <v>Error?</v>
      </c>
    </row>
    <row r="721" spans="1:4" x14ac:dyDescent="0.2">
      <c r="A721" s="5">
        <v>660</v>
      </c>
      <c r="B721" s="1832">
        <f>'Expenditures 15-22'!C36</f>
        <v>90195</v>
      </c>
      <c r="D721" s="2" t="str">
        <f t="shared" si="10"/>
        <v>Error?</v>
      </c>
    </row>
    <row r="722" spans="1:4" x14ac:dyDescent="0.2">
      <c r="A722" s="5">
        <v>661</v>
      </c>
      <c r="B722" s="1832">
        <f>'Expenditures 15-22'!C37</f>
        <v>237274</v>
      </c>
      <c r="D722" s="2" t="str">
        <f t="shared" si="10"/>
        <v>Error?</v>
      </c>
    </row>
    <row r="723" spans="1:4" x14ac:dyDescent="0.2">
      <c r="A723" s="5">
        <v>662</v>
      </c>
      <c r="B723" s="1832">
        <f>'Expenditures 15-22'!C38</f>
        <v>28497</v>
      </c>
      <c r="D723" s="2" t="str">
        <f t="shared" si="10"/>
        <v>Error?</v>
      </c>
    </row>
    <row r="724" spans="1:4" x14ac:dyDescent="0.2">
      <c r="A724" s="5">
        <v>663</v>
      </c>
      <c r="B724" s="1832">
        <f>'Expenditures 15-22'!C39</f>
        <v>10403</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11508</v>
      </c>
      <c r="D726" s="2" t="str">
        <f t="shared" si="10"/>
        <v>Error?</v>
      </c>
    </row>
    <row r="727" spans="1:4" x14ac:dyDescent="0.2">
      <c r="A727" s="5">
        <v>666</v>
      </c>
      <c r="B727" s="1832">
        <f>'Expenditures 15-22'!C42</f>
        <v>377877</v>
      </c>
      <c r="C727" s="2" t="s">
        <v>569</v>
      </c>
      <c r="D727" s="2" t="str">
        <f t="shared" si="10"/>
        <v>Error?</v>
      </c>
    </row>
    <row r="728" spans="1:4" x14ac:dyDescent="0.2">
      <c r="A728" s="5">
        <v>667</v>
      </c>
      <c r="B728" s="1832">
        <f>'Expenditures 15-22'!C44</f>
        <v>3964</v>
      </c>
      <c r="D728" s="2" t="str">
        <f t="shared" si="10"/>
        <v>Error?</v>
      </c>
    </row>
    <row r="729" spans="1:4" x14ac:dyDescent="0.2">
      <c r="A729" s="5">
        <v>668</v>
      </c>
      <c r="B729" s="1832">
        <f>'Expenditures 15-22'!C45</f>
        <v>38719</v>
      </c>
      <c r="D729" s="2" t="str">
        <f t="shared" si="10"/>
        <v>Error?</v>
      </c>
    </row>
    <row r="730" spans="1:4" x14ac:dyDescent="0.2">
      <c r="A730" s="5">
        <v>669</v>
      </c>
      <c r="B730" s="1832">
        <f>'Expenditures 15-22'!C46</f>
        <v>375</v>
      </c>
      <c r="D730" s="2" t="str">
        <f t="shared" si="10"/>
        <v>Error?</v>
      </c>
    </row>
    <row r="731" spans="1:4" x14ac:dyDescent="0.2">
      <c r="A731" s="5">
        <v>670</v>
      </c>
      <c r="B731" s="1832">
        <f>'Expenditures 15-22'!C47</f>
        <v>43058</v>
      </c>
      <c r="C731" s="2" t="s">
        <v>569</v>
      </c>
      <c r="D731" s="2" t="str">
        <f t="shared" si="10"/>
        <v>Error?</v>
      </c>
    </row>
    <row r="732" spans="1:4" x14ac:dyDescent="0.2">
      <c r="A732" s="5">
        <v>671</v>
      </c>
      <c r="B732" s="1832">
        <f>'Expenditures 15-22'!C49</f>
        <v>2499</v>
      </c>
      <c r="D732" s="2" t="str">
        <f t="shared" si="10"/>
        <v>Error?</v>
      </c>
    </row>
    <row r="733" spans="1:4" x14ac:dyDescent="0.2">
      <c r="A733" s="5">
        <v>672</v>
      </c>
      <c r="B733" s="1832">
        <f>'Expenditures 15-22'!C50</f>
        <v>171513</v>
      </c>
      <c r="D733" s="2" t="str">
        <f t="shared" si="10"/>
        <v>Error?</v>
      </c>
    </row>
    <row r="734" spans="1:4" x14ac:dyDescent="0.2">
      <c r="A734" s="5">
        <v>673</v>
      </c>
      <c r="B734" s="1832">
        <f>'Expenditures 15-22'!C53</f>
        <v>178012</v>
      </c>
      <c r="C734" s="2" t="s">
        <v>569</v>
      </c>
      <c r="D734" s="2" t="str">
        <f t="shared" si="10"/>
        <v>Error?</v>
      </c>
    </row>
    <row r="735" spans="1:4" x14ac:dyDescent="0.2">
      <c r="A735" s="5">
        <v>674</v>
      </c>
      <c r="B735" s="1832">
        <f>'Expenditures 15-22'!C55</f>
        <v>265704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265704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71652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118284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189936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1054587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4414426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286155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1611</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11493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373632</v>
      </c>
      <c r="C778" s="2" t="s">
        <v>569</v>
      </c>
      <c r="D778" s="2" t="str">
        <f t="shared" si="11"/>
        <v>Error?</v>
      </c>
    </row>
    <row r="779" spans="1:4" x14ac:dyDescent="0.2">
      <c r="A779" s="5">
        <v>718</v>
      </c>
      <c r="B779" s="1832">
        <f>'Expenditures 15-22'!D36</f>
        <v>16010</v>
      </c>
      <c r="D779" s="2" t="str">
        <f t="shared" si="11"/>
        <v>Error?</v>
      </c>
    </row>
    <row r="780" spans="1:4" x14ac:dyDescent="0.2">
      <c r="A780" s="5">
        <v>719</v>
      </c>
      <c r="B780" s="1832">
        <f>'Expenditures 15-22'!D37</f>
        <v>36030</v>
      </c>
      <c r="D780" s="2" t="str">
        <f t="shared" si="11"/>
        <v>Error?</v>
      </c>
    </row>
    <row r="781" spans="1:4" x14ac:dyDescent="0.2">
      <c r="A781" s="5">
        <v>720</v>
      </c>
      <c r="B781" s="1832">
        <f>'Expenditures 15-22'!D38</f>
        <v>13094</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207</v>
      </c>
      <c r="D784" s="2" t="str">
        <f t="shared" si="11"/>
        <v>Error?</v>
      </c>
    </row>
    <row r="785" spans="1:4" x14ac:dyDescent="0.2">
      <c r="A785" s="5">
        <v>724</v>
      </c>
      <c r="B785" s="1832">
        <f>'Expenditures 15-22'!D42</f>
        <v>65341</v>
      </c>
      <c r="C785" s="2" t="s">
        <v>569</v>
      </c>
      <c r="D785" s="2" t="str">
        <f t="shared" si="11"/>
        <v>Error?</v>
      </c>
    </row>
    <row r="786" spans="1:4" x14ac:dyDescent="0.2">
      <c r="A786" s="5">
        <v>725</v>
      </c>
      <c r="B786" s="1832">
        <f>'Expenditures 15-22'!D44</f>
        <v>75</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5</v>
      </c>
      <c r="D788" s="2" t="str">
        <f t="shared" si="11"/>
        <v>Error?</v>
      </c>
    </row>
    <row r="789" spans="1:4" x14ac:dyDescent="0.2">
      <c r="A789" s="5">
        <v>728</v>
      </c>
      <c r="B789" s="1832">
        <f>'Expenditures 15-22'!D47</f>
        <v>80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30769</v>
      </c>
      <c r="D791" s="2" t="str">
        <f t="shared" si="11"/>
        <v>Error?</v>
      </c>
    </row>
    <row r="792" spans="1:4" x14ac:dyDescent="0.2">
      <c r="A792" s="5">
        <v>731</v>
      </c>
      <c r="B792" s="1832">
        <f>'Expenditures 15-22'!D53</f>
        <v>30769</v>
      </c>
      <c r="C792" s="2" t="s">
        <v>569</v>
      </c>
      <c r="D792" s="2" t="str">
        <f t="shared" si="11"/>
        <v>Error?</v>
      </c>
    </row>
    <row r="793" spans="1:4" x14ac:dyDescent="0.2">
      <c r="A793" s="5">
        <v>732</v>
      </c>
      <c r="B793" s="1832">
        <f>'Expenditures 15-22'!D55</f>
        <v>55166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55166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12343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19518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31861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183217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556849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3501</v>
      </c>
      <c r="D821" s="2" t="str">
        <f t="shared" si="11"/>
        <v>Error?</v>
      </c>
    </row>
    <row r="822" spans="1:4" x14ac:dyDescent="0.2">
      <c r="A822" s="5">
        <v>761</v>
      </c>
      <c r="B822" s="1832">
        <f>'Expenditures 15-22'!E16</f>
        <v>1440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44763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88546</v>
      </c>
      <c r="C836" s="2" t="s">
        <v>569</v>
      </c>
      <c r="D836" s="2" t="str">
        <f t="shared" si="12"/>
        <v>Error?</v>
      </c>
    </row>
    <row r="837" spans="1:4" x14ac:dyDescent="0.2">
      <c r="A837" s="5">
        <v>776</v>
      </c>
      <c r="B837" s="1832">
        <f>'Expenditures 15-22'!E36</f>
        <v>166</v>
      </c>
      <c r="D837" s="2" t="str">
        <f t="shared" si="12"/>
        <v>Error?</v>
      </c>
    </row>
    <row r="838" spans="1:4" x14ac:dyDescent="0.2">
      <c r="A838" s="5">
        <v>777</v>
      </c>
      <c r="B838" s="1832">
        <f>'Expenditures 15-22'!E37</f>
        <v>1105</v>
      </c>
      <c r="D838" s="2" t="str">
        <f t="shared" si="12"/>
        <v>Error?</v>
      </c>
    </row>
    <row r="839" spans="1:4" x14ac:dyDescent="0.2">
      <c r="A839" s="5">
        <v>778</v>
      </c>
      <c r="B839" s="1832">
        <f>'Expenditures 15-22'!E38</f>
        <v>2213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8113</v>
      </c>
      <c r="D841" s="2" t="str">
        <f t="shared" si="12"/>
        <v>Error?</v>
      </c>
    </row>
    <row r="842" spans="1:4" x14ac:dyDescent="0.2">
      <c r="A842" s="5">
        <v>781</v>
      </c>
      <c r="B842" s="1832">
        <f>'Expenditures 15-22'!E41</f>
        <v>2746</v>
      </c>
      <c r="D842" s="2" t="str">
        <f t="shared" si="12"/>
        <v>Error?</v>
      </c>
    </row>
    <row r="843" spans="1:4" x14ac:dyDescent="0.2">
      <c r="A843" s="5">
        <v>782</v>
      </c>
      <c r="B843" s="1832">
        <f>'Expenditures 15-22'!E42</f>
        <v>14343</v>
      </c>
      <c r="C843" s="2" t="s">
        <v>569</v>
      </c>
      <c r="D843" s="2" t="str">
        <f t="shared" si="12"/>
        <v>Error?</v>
      </c>
    </row>
    <row r="844" spans="1:4" x14ac:dyDescent="0.2">
      <c r="A844" s="5">
        <v>783</v>
      </c>
      <c r="B844" s="1832">
        <f>'Expenditures 15-22'!E44</f>
        <v>9123</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169</v>
      </c>
      <c r="D846" s="2" t="str">
        <f t="shared" si="12"/>
        <v>Error?</v>
      </c>
    </row>
    <row r="847" spans="1:4" x14ac:dyDescent="0.2">
      <c r="A847" s="5">
        <v>786</v>
      </c>
      <c r="B847" s="1832">
        <f>'Expenditures 15-22'!E47</f>
        <v>9292</v>
      </c>
      <c r="C847" s="2" t="s">
        <v>569</v>
      </c>
      <c r="D847" s="2" t="str">
        <f t="shared" si="12"/>
        <v>Error?</v>
      </c>
    </row>
    <row r="848" spans="1:4" x14ac:dyDescent="0.2">
      <c r="A848" s="5">
        <v>787</v>
      </c>
      <c r="B848" s="1832">
        <f>'Expenditures 15-22'!E49</f>
        <v>46624</v>
      </c>
      <c r="D848" s="2" t="str">
        <f t="shared" si="12"/>
        <v>Error?</v>
      </c>
    </row>
    <row r="849" spans="1:4" x14ac:dyDescent="0.2">
      <c r="A849" s="5">
        <v>788</v>
      </c>
      <c r="B849" s="1832">
        <f>'Expenditures 15-22'!E50</f>
        <v>479</v>
      </c>
      <c r="D849" s="2" t="str">
        <f t="shared" si="12"/>
        <v>Error?</v>
      </c>
    </row>
    <row r="850" spans="1:4" x14ac:dyDescent="0.2">
      <c r="A850" s="5">
        <v>789</v>
      </c>
      <c r="B850" s="1832">
        <f>'Expenditures 15-22'!E53</f>
        <v>47103</v>
      </c>
      <c r="C850" s="2" t="s">
        <v>569</v>
      </c>
      <c r="D850" s="2" t="str">
        <f t="shared" si="12"/>
        <v>Error?</v>
      </c>
    </row>
    <row r="851" spans="1:4" x14ac:dyDescent="0.2">
      <c r="A851" s="5">
        <v>790</v>
      </c>
      <c r="B851" s="1832">
        <f>'Expenditures 15-22'!E55</f>
        <v>1601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1601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5325</v>
      </c>
      <c r="D855" s="2" t="str">
        <f t="shared" si="12"/>
        <v>Error?</v>
      </c>
    </row>
    <row r="856" spans="1:4" x14ac:dyDescent="0.2">
      <c r="A856" s="5">
        <v>795</v>
      </c>
      <c r="B856" s="1832">
        <f>'Expenditures 15-22'!E61</f>
        <v>114076</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2361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121762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4127</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1286</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5413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199514</v>
      </c>
      <c r="C871" s="2" t="s">
        <v>569</v>
      </c>
      <c r="D871" s="2" t="str">
        <f t="shared" si="12"/>
        <v>Error?</v>
      </c>
    </row>
    <row r="872" spans="1:4" x14ac:dyDescent="0.2">
      <c r="A872" s="5">
        <v>811</v>
      </c>
      <c r="B872" s="1832">
        <f>'Expenditures 15-22'!E75</f>
        <v>500</v>
      </c>
      <c r="D872" s="2" t="str">
        <f t="shared" si="12"/>
        <v>Error?</v>
      </c>
    </row>
    <row r="873" spans="1:4" x14ac:dyDescent="0.2">
      <c r="A873" s="5">
        <v>812</v>
      </c>
      <c r="B873" s="1832">
        <f>'Expenditures 15-22'!E114</f>
        <v>327253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54857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2377</v>
      </c>
      <c r="D891" s="2" t="str">
        <f t="shared" si="12"/>
        <v>Error?</v>
      </c>
    </row>
    <row r="892" spans="1:4" x14ac:dyDescent="0.2">
      <c r="A892" s="5">
        <v>831</v>
      </c>
      <c r="B892" s="1832">
        <f>'Expenditures 15-22'!F14</f>
        <v>21911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91596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235</v>
      </c>
      <c r="D896" s="2" t="str">
        <f t="shared" si="13"/>
        <v>Error?</v>
      </c>
    </row>
    <row r="897" spans="1:4" x14ac:dyDescent="0.2">
      <c r="A897" s="5">
        <v>836</v>
      </c>
      <c r="B897" s="1832">
        <f>'Expenditures 15-22'!F38</f>
        <v>713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1511</v>
      </c>
      <c r="D900" s="2" t="str">
        <f t="shared" si="13"/>
        <v>Error?</v>
      </c>
    </row>
    <row r="901" spans="1:4" x14ac:dyDescent="0.2">
      <c r="A901" s="5">
        <v>840</v>
      </c>
      <c r="B901" s="1832">
        <f>'Expenditures 15-22'!F42</f>
        <v>2459</v>
      </c>
      <c r="C901" s="2" t="s">
        <v>569</v>
      </c>
      <c r="D901" s="2" t="str">
        <f t="shared" si="13"/>
        <v>Error?</v>
      </c>
    </row>
    <row r="902" spans="1:4" x14ac:dyDescent="0.2">
      <c r="A902" s="5">
        <v>841</v>
      </c>
      <c r="B902" s="1832">
        <f>'Expenditures 15-22'!F44</f>
        <v>89</v>
      </c>
      <c r="D902" s="2" t="str">
        <f t="shared" si="13"/>
        <v>Error?</v>
      </c>
    </row>
    <row r="903" spans="1:4" x14ac:dyDescent="0.2">
      <c r="A903" s="5">
        <v>842</v>
      </c>
      <c r="B903" s="1832">
        <f>'Expenditures 15-22'!F45</f>
        <v>11895</v>
      </c>
      <c r="D903" s="2" t="str">
        <f t="shared" si="13"/>
        <v>Error?</v>
      </c>
    </row>
    <row r="904" spans="1:4" x14ac:dyDescent="0.2">
      <c r="A904" s="5">
        <v>843</v>
      </c>
      <c r="B904" s="1832">
        <f>'Expenditures 15-22'!F46</f>
        <v>3724</v>
      </c>
      <c r="D904" s="2" t="str">
        <f t="shared" si="13"/>
        <v>Error?</v>
      </c>
    </row>
    <row r="905" spans="1:4" x14ac:dyDescent="0.2">
      <c r="A905" s="5">
        <v>844</v>
      </c>
      <c r="B905" s="1832">
        <f>'Expenditures 15-22'!F47</f>
        <v>15708</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70</v>
      </c>
      <c r="D907" s="2" t="str">
        <f t="shared" si="13"/>
        <v>Error?</v>
      </c>
    </row>
    <row r="908" spans="1:4" x14ac:dyDescent="0.2">
      <c r="A908" s="5">
        <v>847</v>
      </c>
      <c r="B908" s="1832">
        <f>'Expenditures 15-22'!F53</f>
        <v>70</v>
      </c>
      <c r="C908" s="2" t="s">
        <v>569</v>
      </c>
      <c r="D908" s="2" t="str">
        <f t="shared" si="13"/>
        <v>Error?</v>
      </c>
    </row>
    <row r="909" spans="1:4" x14ac:dyDescent="0.2">
      <c r="A909" s="5">
        <v>848</v>
      </c>
      <c r="B909" s="1832">
        <f>'Expenditures 15-22'!F55</f>
        <v>9992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9992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875</v>
      </c>
      <c r="D913" s="2" t="str">
        <f t="shared" si="13"/>
        <v>Error?</v>
      </c>
    </row>
    <row r="914" spans="1:4" x14ac:dyDescent="0.2">
      <c r="A914" s="5">
        <v>853</v>
      </c>
      <c r="B914" s="1832">
        <f>'Expenditures 15-22'!F61</f>
        <v>2679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167918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171472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199701</v>
      </c>
      <c r="C929" s="2" t="s">
        <v>569</v>
      </c>
      <c r="D929" s="2" t="str">
        <f t="shared" si="13"/>
        <v>Error?</v>
      </c>
    </row>
    <row r="930" spans="1:4" x14ac:dyDescent="0.2">
      <c r="A930" s="5">
        <v>869</v>
      </c>
      <c r="B930" s="1832">
        <f>'Expenditures 15-22'!F75</f>
        <v>1668</v>
      </c>
      <c r="D930" s="2" t="str">
        <f t="shared" si="13"/>
        <v>Error?</v>
      </c>
    </row>
    <row r="931" spans="1:4" x14ac:dyDescent="0.2">
      <c r="A931" s="5">
        <v>870</v>
      </c>
      <c r="B931" s="1832">
        <f>'Expenditures 15-22'!F114</f>
        <v>292965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12786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36749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155</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155</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155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36904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740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314834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14617</v>
      </c>
      <c r="D1022" s="2" t="str">
        <f t="shared" si="14"/>
        <v>Error?</v>
      </c>
    </row>
    <row r="1023" spans="1:4" x14ac:dyDescent="0.2">
      <c r="A1023" s="5">
        <v>962</v>
      </c>
      <c r="B1023" s="1832">
        <f>'Expenditures 15-22'!H50</f>
        <v>1253</v>
      </c>
      <c r="D1023" s="2" t="str">
        <f t="shared" ref="D1023:D1086" si="15">IF(ISBLANK(B1023),"OK",IF(A1023-B1023=0,"OK","Error?"))</f>
        <v>Error?</v>
      </c>
    </row>
    <row r="1024" spans="1:4" x14ac:dyDescent="0.2">
      <c r="A1024" s="5">
        <v>963</v>
      </c>
      <c r="B1024" s="1832">
        <f>'Expenditures 15-22'!H53</f>
        <v>15870</v>
      </c>
      <c r="C1024" s="2" t="s">
        <v>569</v>
      </c>
      <c r="D1024" s="2" t="str">
        <f t="shared" si="15"/>
        <v>Error?</v>
      </c>
    </row>
    <row r="1025" spans="1:4" x14ac:dyDescent="0.2">
      <c r="A1025" s="5">
        <v>964</v>
      </c>
      <c r="B1025" s="1832">
        <f>'Expenditures 15-22'!H55</f>
        <v>2762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2762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18632</v>
      </c>
      <c r="C1045" s="2" t="s">
        <v>569</v>
      </c>
      <c r="D1045" s="2" t="str">
        <f t="shared" si="15"/>
        <v>Error?</v>
      </c>
    </row>
    <row r="1046" spans="1:5" x14ac:dyDescent="0.2">
      <c r="A1046" s="5">
        <v>985</v>
      </c>
      <c r="B1046" s="1832">
        <f>'Expenditures 15-22'!H75</f>
        <v>3640</v>
      </c>
      <c r="D1046" s="2" t="str">
        <f t="shared" si="15"/>
        <v>Error?</v>
      </c>
    </row>
    <row r="1047" spans="1:5" x14ac:dyDescent="0.2">
      <c r="A1047" s="5">
        <v>986</v>
      </c>
      <c r="B1047" s="1832">
        <f>'Expenditures 15-22'!H102</f>
        <v>119049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456155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2675470</v>
      </c>
      <c r="C1093" s="2" t="s">
        <v>569</v>
      </c>
      <c r="D1093" s="2" t="str">
        <f t="shared" si="16"/>
        <v>Error?</v>
      </c>
    </row>
    <row r="1094" spans="1:4" x14ac:dyDescent="0.2">
      <c r="A1094" s="5">
        <v>1033</v>
      </c>
      <c r="B1094" s="1832">
        <f>'Expenditures 15-22'!K16</f>
        <v>1440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62670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13404</v>
      </c>
      <c r="C1105" s="2" t="s">
        <v>569</v>
      </c>
      <c r="D1105" s="2" t="str">
        <f t="shared" si="16"/>
        <v>Error?</v>
      </c>
    </row>
    <row r="1106" spans="1:4" x14ac:dyDescent="0.2">
      <c r="A1106" s="5">
        <v>1045</v>
      </c>
      <c r="B1106" s="1832">
        <f>'Expenditures 15-22'!K14</f>
        <v>376794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4265196</v>
      </c>
      <c r="C1108" s="2" t="s">
        <v>569</v>
      </c>
      <c r="D1108" s="2" t="str">
        <f t="shared" si="16"/>
        <v>Error?</v>
      </c>
    </row>
    <row r="1109" spans="1:4" x14ac:dyDescent="0.2">
      <c r="A1109" s="5">
        <v>1048</v>
      </c>
      <c r="B1109" s="1832">
        <f>'Expenditures 15-22'!K36</f>
        <v>106371</v>
      </c>
      <c r="C1109" s="2" t="s">
        <v>569</v>
      </c>
      <c r="D1109" s="2" t="str">
        <f t="shared" si="16"/>
        <v>Error?</v>
      </c>
    </row>
    <row r="1110" spans="1:4" x14ac:dyDescent="0.2">
      <c r="A1110" s="5">
        <v>1049</v>
      </c>
      <c r="B1110" s="1832">
        <f>'Expenditures 15-22'!K37</f>
        <v>274644</v>
      </c>
      <c r="C1110" s="2" t="s">
        <v>569</v>
      </c>
      <c r="D1110" s="2" t="str">
        <f t="shared" si="16"/>
        <v>Error?</v>
      </c>
    </row>
    <row r="1111" spans="1:4" x14ac:dyDescent="0.2">
      <c r="A1111" s="5">
        <v>1050</v>
      </c>
      <c r="B1111" s="1832">
        <f>'Expenditures 15-22'!K38</f>
        <v>44672</v>
      </c>
      <c r="C1111" s="2" t="s">
        <v>569</v>
      </c>
      <c r="D1111" s="2" t="str">
        <f t="shared" si="16"/>
        <v>Error?</v>
      </c>
    </row>
    <row r="1112" spans="1:4" x14ac:dyDescent="0.2">
      <c r="A1112" s="5">
        <v>1051</v>
      </c>
      <c r="B1112" s="1832">
        <f>'Expenditures 15-22'!K39</f>
        <v>10403</v>
      </c>
      <c r="C1112" s="2" t="s">
        <v>569</v>
      </c>
      <c r="D1112" s="2" t="str">
        <f t="shared" si="16"/>
        <v>Error?</v>
      </c>
    </row>
    <row r="1113" spans="1:4" x14ac:dyDescent="0.2">
      <c r="A1113" s="5">
        <v>1052</v>
      </c>
      <c r="B1113" s="1832">
        <f>'Expenditures 15-22'!K40</f>
        <v>8113</v>
      </c>
      <c r="C1113" s="2" t="s">
        <v>569</v>
      </c>
      <c r="D1113" s="2" t="str">
        <f t="shared" si="16"/>
        <v>Error?</v>
      </c>
    </row>
    <row r="1114" spans="1:4" x14ac:dyDescent="0.2">
      <c r="A1114" s="5">
        <v>1053</v>
      </c>
      <c r="B1114" s="1832">
        <f>'Expenditures 15-22'!K41</f>
        <v>15972</v>
      </c>
      <c r="C1114" s="2" t="s">
        <v>569</v>
      </c>
      <c r="D1114" s="2" t="str">
        <f t="shared" si="16"/>
        <v>Error?</v>
      </c>
    </row>
    <row r="1115" spans="1:4" x14ac:dyDescent="0.2">
      <c r="A1115" s="5">
        <v>1054</v>
      </c>
      <c r="B1115" s="1832">
        <f>'Expenditures 15-22'!K42</f>
        <v>460175</v>
      </c>
      <c r="C1115" s="2" t="s">
        <v>569</v>
      </c>
      <c r="D1115" s="2" t="str">
        <f t="shared" si="16"/>
        <v>Error?</v>
      </c>
    </row>
    <row r="1116" spans="1:4" x14ac:dyDescent="0.2">
      <c r="A1116" s="5">
        <v>1055</v>
      </c>
      <c r="B1116" s="1832">
        <f>'Expenditures 15-22'!K44</f>
        <v>13251</v>
      </c>
      <c r="C1116" s="2" t="s">
        <v>569</v>
      </c>
      <c r="D1116" s="2" t="str">
        <f t="shared" si="16"/>
        <v>Error?</v>
      </c>
    </row>
    <row r="1117" spans="1:4" x14ac:dyDescent="0.2">
      <c r="A1117" s="5">
        <v>1056</v>
      </c>
      <c r="B1117" s="1832">
        <f>'Expenditures 15-22'!K45</f>
        <v>50614</v>
      </c>
      <c r="C1117" s="2" t="s">
        <v>569</v>
      </c>
      <c r="D1117" s="2" t="str">
        <f t="shared" si="16"/>
        <v>Error?</v>
      </c>
    </row>
    <row r="1118" spans="1:4" x14ac:dyDescent="0.2">
      <c r="A1118" s="5">
        <v>1057</v>
      </c>
      <c r="B1118" s="1832">
        <f>'Expenditures 15-22'!K46</f>
        <v>4273</v>
      </c>
      <c r="C1118" s="2" t="s">
        <v>569</v>
      </c>
      <c r="D1118" s="2" t="str">
        <f t="shared" si="16"/>
        <v>Error?</v>
      </c>
    </row>
    <row r="1119" spans="1:4" x14ac:dyDescent="0.2">
      <c r="A1119" s="5">
        <v>1058</v>
      </c>
      <c r="B1119" s="1832">
        <f>'Expenditures 15-22'!K47</f>
        <v>68138</v>
      </c>
      <c r="C1119" s="2" t="s">
        <v>569</v>
      </c>
      <c r="D1119" s="2" t="str">
        <f t="shared" si="16"/>
        <v>Error?</v>
      </c>
    </row>
    <row r="1120" spans="1:4" x14ac:dyDescent="0.2">
      <c r="A1120" s="5">
        <v>1059</v>
      </c>
      <c r="B1120" s="1832">
        <f>'Expenditures 15-22'!K49</f>
        <v>63740</v>
      </c>
      <c r="C1120" s="2" t="s">
        <v>569</v>
      </c>
      <c r="D1120" s="2" t="str">
        <f t="shared" si="16"/>
        <v>Error?</v>
      </c>
    </row>
    <row r="1121" spans="1:4" x14ac:dyDescent="0.2">
      <c r="A1121" s="5">
        <v>1060</v>
      </c>
      <c r="B1121" s="1832">
        <f>'Expenditures 15-22'!K50</f>
        <v>204084</v>
      </c>
      <c r="C1121" s="2" t="s">
        <v>569</v>
      </c>
      <c r="D1121" s="2" t="str">
        <f t="shared" si="16"/>
        <v>Error?</v>
      </c>
    </row>
    <row r="1122" spans="1:4" x14ac:dyDescent="0.2">
      <c r="A1122" s="5">
        <v>1061</v>
      </c>
      <c r="B1122" s="1832">
        <f>'Expenditures 15-22'!K53</f>
        <v>271824</v>
      </c>
      <c r="C1122" s="2" t="s">
        <v>569</v>
      </c>
      <c r="D1122" s="2" t="str">
        <f t="shared" si="16"/>
        <v>Error?</v>
      </c>
    </row>
    <row r="1123" spans="1:4" x14ac:dyDescent="0.2">
      <c r="A1123" s="5">
        <v>1062</v>
      </c>
      <c r="B1123" s="1832">
        <f>'Expenditures 15-22'!K55</f>
        <v>335225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335225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90195</v>
      </c>
      <c r="C1127" s="2" t="s">
        <v>569</v>
      </c>
      <c r="D1127" s="2" t="str">
        <f t="shared" si="16"/>
        <v>Error?</v>
      </c>
    </row>
    <row r="1128" spans="1:4" x14ac:dyDescent="0.2">
      <c r="A1128" s="5">
        <v>1067</v>
      </c>
      <c r="B1128" s="1832">
        <f>'Expenditures 15-22'!K61</f>
        <v>116755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308081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515031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4127</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1286</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5413</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1655806</v>
      </c>
      <c r="C1143" s="2" t="s">
        <v>569</v>
      </c>
      <c r="D1143" s="2" t="str">
        <f t="shared" si="16"/>
        <v>Error?</v>
      </c>
    </row>
    <row r="1144" spans="1:4" x14ac:dyDescent="0.2">
      <c r="A1144" s="5">
        <v>1083</v>
      </c>
      <c r="B1144" s="1832">
        <f>'Expenditures 15-22'!K75</f>
        <v>5808</v>
      </c>
      <c r="C1144" s="2" t="s">
        <v>569</v>
      </c>
      <c r="D1144" s="2" t="str">
        <f t="shared" si="16"/>
        <v>Error?</v>
      </c>
    </row>
    <row r="1145" spans="1:4" x14ac:dyDescent="0.2">
      <c r="A1145" s="5">
        <v>1084</v>
      </c>
      <c r="B1145" s="1832">
        <f>'Expenditures 15-22'!K102</f>
        <v>157742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6084552</v>
      </c>
      <c r="C1152" s="2" t="s">
        <v>569</v>
      </c>
      <c r="D1152" s="2" t="str">
        <f t="shared" si="17"/>
        <v>Error?</v>
      </c>
    </row>
    <row r="1153" spans="1:4" x14ac:dyDescent="0.2">
      <c r="A1153" s="5">
        <v>1092</v>
      </c>
      <c r="B1153" s="1832">
        <f>'Expenditures 15-22'!K115</f>
        <v>277617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244988</v>
      </c>
      <c r="D1221" s="2" t="str">
        <f t="shared" si="18"/>
        <v>Error?</v>
      </c>
    </row>
    <row r="1222" spans="1:4" x14ac:dyDescent="0.2">
      <c r="A1222" s="10">
        <v>1161</v>
      </c>
      <c r="B1222" s="1832"/>
      <c r="D1222" s="2" t="str">
        <f t="shared" si="18"/>
        <v>OK</v>
      </c>
    </row>
    <row r="1223" spans="1:4" x14ac:dyDescent="0.2">
      <c r="A1223" s="5">
        <v>1162</v>
      </c>
      <c r="B1223" s="1832">
        <f>'Expenditures 15-22'!C127</f>
        <v>244988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244988</v>
      </c>
      <c r="C1225" s="2" t="s">
        <v>569</v>
      </c>
      <c r="D1225" s="2" t="str">
        <f t="shared" si="18"/>
        <v>Error?</v>
      </c>
    </row>
    <row r="1226" spans="1:4" x14ac:dyDescent="0.2">
      <c r="A1226" s="5">
        <v>1165</v>
      </c>
      <c r="B1226" s="1832">
        <f>'Expenditures 15-22'!C151</f>
        <v>244988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45718</v>
      </c>
      <c r="D1229" s="2" t="str">
        <f t="shared" si="18"/>
        <v>Error?</v>
      </c>
    </row>
    <row r="1230" spans="1:4" x14ac:dyDescent="0.2">
      <c r="A1230" s="10">
        <v>1169</v>
      </c>
      <c r="B1230" s="1832"/>
      <c r="D1230" s="2" t="str">
        <f t="shared" si="18"/>
        <v>OK</v>
      </c>
    </row>
    <row r="1231" spans="1:4" x14ac:dyDescent="0.2">
      <c r="A1231" s="5">
        <v>1170</v>
      </c>
      <c r="B1231" s="1832">
        <f>'Expenditures 15-22'!D127</f>
        <v>45718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45718</v>
      </c>
      <c r="C1233" s="2" t="s">
        <v>569</v>
      </c>
      <c r="D1233" s="2" t="str">
        <f t="shared" si="18"/>
        <v>Error?</v>
      </c>
    </row>
    <row r="1234" spans="1:4" x14ac:dyDescent="0.2">
      <c r="A1234" s="5">
        <v>1173</v>
      </c>
      <c r="B1234" s="1832">
        <f>'Expenditures 15-22'!D151</f>
        <v>45718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135114</v>
      </c>
      <c r="D1237" s="2" t="str">
        <f t="shared" si="18"/>
        <v>Error?</v>
      </c>
    </row>
    <row r="1238" spans="1:4" x14ac:dyDescent="0.2">
      <c r="A1238" s="10">
        <v>1177</v>
      </c>
      <c r="B1238" s="1832"/>
      <c r="D1238" s="2" t="str">
        <f t="shared" si="18"/>
        <v>OK</v>
      </c>
    </row>
    <row r="1239" spans="1:4" x14ac:dyDescent="0.2">
      <c r="A1239" s="5">
        <v>1178</v>
      </c>
      <c r="B1239" s="1832">
        <f>'Expenditures 15-22'!E127</f>
        <v>135114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135114</v>
      </c>
      <c r="C1241" s="2" t="s">
        <v>569</v>
      </c>
      <c r="D1241" s="2" t="str">
        <f t="shared" si="18"/>
        <v>Error?</v>
      </c>
    </row>
    <row r="1242" spans="1:4" x14ac:dyDescent="0.2">
      <c r="A1242" s="5">
        <v>1181</v>
      </c>
      <c r="B1242" s="1832">
        <f>'Expenditures 15-22'!E151</f>
        <v>135114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186713</v>
      </c>
      <c r="D1245" s="2" t="str">
        <f t="shared" si="18"/>
        <v>Error?</v>
      </c>
    </row>
    <row r="1246" spans="1:4" x14ac:dyDescent="0.2">
      <c r="A1246" s="10">
        <v>1185</v>
      </c>
      <c r="B1246" s="1832"/>
      <c r="D1246" s="2" t="str">
        <f t="shared" si="18"/>
        <v>OK</v>
      </c>
    </row>
    <row r="1247" spans="1:4" x14ac:dyDescent="0.2">
      <c r="A1247" s="5">
        <v>1186</v>
      </c>
      <c r="B1247" s="1832">
        <f>'Expenditures 15-22'!F127</f>
        <v>186713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186713</v>
      </c>
      <c r="C1249" s="2" t="s">
        <v>569</v>
      </c>
      <c r="D1249" s="2" t="str">
        <f t="shared" si="18"/>
        <v>Error?</v>
      </c>
    </row>
    <row r="1250" spans="1:4" x14ac:dyDescent="0.2">
      <c r="A1250" s="5">
        <v>1189</v>
      </c>
      <c r="B1250" s="1832">
        <f>'Expenditures 15-22'!F151</f>
        <v>186713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70512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70512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70512</v>
      </c>
      <c r="C1258" s="2" t="s">
        <v>569</v>
      </c>
      <c r="D1258" s="2" t="str">
        <f t="shared" si="18"/>
        <v>Error?</v>
      </c>
    </row>
    <row r="1259" spans="1:4" x14ac:dyDescent="0.2">
      <c r="A1259" s="5">
        <v>1198</v>
      </c>
      <c r="B1259" s="1832">
        <f>'Expenditures 15-22'!G151</f>
        <v>70512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507</v>
      </c>
      <c r="D1262" s="2" t="str">
        <f t="shared" si="18"/>
        <v>Error?</v>
      </c>
    </row>
    <row r="1263" spans="1:4" x14ac:dyDescent="0.2">
      <c r="A1263" s="10">
        <v>1202</v>
      </c>
      <c r="B1263" s="1832"/>
      <c r="D1263" s="2" t="str">
        <f t="shared" si="18"/>
        <v>OK</v>
      </c>
    </row>
    <row r="1264" spans="1:4" x14ac:dyDescent="0.2">
      <c r="A1264" s="5">
        <v>1203</v>
      </c>
      <c r="B1264" s="1832">
        <f>'Expenditures 15-22'!H127</f>
        <v>507</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507</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507</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683552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683552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683552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683552</v>
      </c>
      <c r="C1288" s="2" t="s">
        <v>569</v>
      </c>
      <c r="D1288" s="2" t="str">
        <f t="shared" si="19"/>
        <v>Error?</v>
      </c>
    </row>
    <row r="1289" spans="1:4" x14ac:dyDescent="0.2">
      <c r="A1289" s="5">
        <v>1228</v>
      </c>
      <c r="B1289" s="1832">
        <f>'Expenditures 15-22'!K152</f>
        <v>265416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63015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955000</v>
      </c>
      <c r="D1315" s="2" t="str">
        <f t="shared" si="19"/>
        <v>Error?</v>
      </c>
    </row>
    <row r="1316" spans="1:4" x14ac:dyDescent="0.2">
      <c r="A1316" s="5">
        <v>1255</v>
      </c>
      <c r="B1316" s="1832">
        <f>'Expenditures 15-22'!H171</f>
        <v>475</v>
      </c>
      <c r="D1316" s="2" t="str">
        <f t="shared" si="19"/>
        <v>Error?</v>
      </c>
    </row>
    <row r="1317" spans="1:4" x14ac:dyDescent="0.2">
      <c r="A1317" s="5">
        <v>1256</v>
      </c>
      <c r="B1317" s="1832">
        <f>'Expenditures 15-22'!H172</f>
        <v>1018490</v>
      </c>
      <c r="C1317" s="2" t="s">
        <v>569</v>
      </c>
      <c r="D1317" s="2" t="str">
        <f t="shared" si="19"/>
        <v>Error?</v>
      </c>
    </row>
    <row r="1318" spans="1:4" x14ac:dyDescent="0.2">
      <c r="A1318" s="5">
        <v>1257</v>
      </c>
      <c r="B1318" s="1832">
        <f>'Expenditures 15-22'!H174</f>
        <v>1018490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63015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955000</v>
      </c>
      <c r="C1329" s="2" t="s">
        <v>569</v>
      </c>
      <c r="D1329" s="2" t="str">
        <f t="shared" si="19"/>
        <v>Error?</v>
      </c>
    </row>
    <row r="1330" spans="1:4" x14ac:dyDescent="0.2">
      <c r="A1330" s="5">
        <v>1269</v>
      </c>
      <c r="B1330" s="1832">
        <f>'Expenditures 15-22'!K171</f>
        <v>475</v>
      </c>
      <c r="C1330" s="2" t="s">
        <v>569</v>
      </c>
      <c r="D1330" s="2" t="str">
        <f t="shared" si="19"/>
        <v>Error?</v>
      </c>
    </row>
    <row r="1331" spans="1:4" x14ac:dyDescent="0.2">
      <c r="A1331" s="5">
        <v>1270</v>
      </c>
      <c r="B1331" s="1832">
        <f>'Expenditures 15-22'!K172</f>
        <v>1018490</v>
      </c>
      <c r="C1331" s="2" t="s">
        <v>569</v>
      </c>
      <c r="D1331" s="2" t="str">
        <f t="shared" si="19"/>
        <v>Error?</v>
      </c>
    </row>
    <row r="1332" spans="1:4" x14ac:dyDescent="0.2">
      <c r="A1332" s="5">
        <v>1271</v>
      </c>
      <c r="B1332" s="1832">
        <f>'Expenditures 15-22'!K174</f>
        <v>1018490</v>
      </c>
      <c r="C1332" s="2" t="s">
        <v>569</v>
      </c>
      <c r="D1332" s="2" t="str">
        <f t="shared" si="19"/>
        <v>Error?</v>
      </c>
    </row>
    <row r="1333" spans="1:4" x14ac:dyDescent="0.2">
      <c r="A1333" s="5">
        <v>1272</v>
      </c>
      <c r="B1333" s="1832">
        <f>'Expenditures 15-22'!K175</f>
        <v>-248536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563858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563858</v>
      </c>
      <c r="C1339" s="2" t="s">
        <v>569</v>
      </c>
      <c r="D1339" s="2" t="str">
        <f t="shared" si="19"/>
        <v>Error?</v>
      </c>
    </row>
    <row r="1340" spans="1:4" x14ac:dyDescent="0.2">
      <c r="A1340" s="5">
        <v>1279</v>
      </c>
      <c r="B1340" s="1832">
        <f>'Expenditures 15-22'!C210</f>
        <v>563858</v>
      </c>
      <c r="C1340" s="2" t="s">
        <v>569</v>
      </c>
      <c r="D1340" s="2" t="str">
        <f t="shared" si="19"/>
        <v>Error?</v>
      </c>
    </row>
    <row r="1341" spans="1:4" x14ac:dyDescent="0.2">
      <c r="A1341" s="5">
        <v>1280</v>
      </c>
      <c r="B1341" s="1832">
        <f>'Expenditures 15-22'!D182</f>
        <v>11571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11571</v>
      </c>
      <c r="C1345" s="2" t="s">
        <v>569</v>
      </c>
      <c r="D1345" s="2" t="str">
        <f t="shared" si="20"/>
        <v>Error?</v>
      </c>
    </row>
    <row r="1346" spans="1:4" x14ac:dyDescent="0.2">
      <c r="A1346" s="5">
        <v>1285</v>
      </c>
      <c r="B1346" s="1832">
        <f>'Expenditures 15-22'!D210</f>
        <v>11571</v>
      </c>
      <c r="C1346" s="2" t="s">
        <v>569</v>
      </c>
      <c r="D1346" s="2" t="str">
        <f t="shared" si="20"/>
        <v>Error?</v>
      </c>
    </row>
    <row r="1347" spans="1:4" x14ac:dyDescent="0.2">
      <c r="A1347" s="5">
        <v>1286</v>
      </c>
      <c r="B1347" s="1832">
        <f>'Expenditures 15-22'!E182</f>
        <v>54234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54234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54234</v>
      </c>
      <c r="C1353" s="2" t="s">
        <v>569</v>
      </c>
      <c r="D1353" s="2" t="str">
        <f t="shared" si="20"/>
        <v>Error?</v>
      </c>
    </row>
    <row r="1354" spans="1:4" x14ac:dyDescent="0.2">
      <c r="A1354" s="5">
        <v>1293</v>
      </c>
      <c r="B1354" s="1832">
        <f>'Expenditures 15-22'!F182</f>
        <v>154800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154800</v>
      </c>
      <c r="C1358" s="2" t="s">
        <v>569</v>
      </c>
      <c r="D1358" s="2" t="str">
        <f t="shared" si="20"/>
        <v>Error?</v>
      </c>
    </row>
    <row r="1359" spans="1:4" x14ac:dyDescent="0.2">
      <c r="A1359" s="5">
        <v>1298</v>
      </c>
      <c r="B1359" s="1832">
        <f>'Expenditures 15-22'!F210</f>
        <v>154800</v>
      </c>
      <c r="C1359" s="2" t="s">
        <v>569</v>
      </c>
      <c r="D1359" s="2" t="str">
        <f t="shared" si="20"/>
        <v>Error?</v>
      </c>
    </row>
    <row r="1360" spans="1:4" x14ac:dyDescent="0.2">
      <c r="A1360" s="5">
        <v>1299</v>
      </c>
      <c r="B1360" s="1832">
        <f>'Expenditures 15-22'!G182</f>
        <v>148043</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148043</v>
      </c>
      <c r="C1364" s="2" t="s">
        <v>569</v>
      </c>
      <c r="D1364" s="2" t="str">
        <f t="shared" si="20"/>
        <v>Error?</v>
      </c>
    </row>
    <row r="1365" spans="1:4" x14ac:dyDescent="0.2">
      <c r="A1365" s="5">
        <v>1304</v>
      </c>
      <c r="B1365" s="1832">
        <f>'Expenditures 15-22'!G210</f>
        <v>148043</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932506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932506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932506</v>
      </c>
      <c r="C1388" s="2" t="s">
        <v>569</v>
      </c>
      <c r="D1388" s="2" t="str">
        <f t="shared" si="20"/>
        <v>Error?</v>
      </c>
    </row>
    <row r="1389" spans="1:4" x14ac:dyDescent="0.2">
      <c r="A1389" s="5">
        <v>1328</v>
      </c>
      <c r="B1389" s="1832">
        <f>'Expenditures 15-22'!K211</f>
        <v>-22751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885</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1911</v>
      </c>
      <c r="D1407" s="2" t="str">
        <f t="shared" ref="D1407:D1470" si="21">IF(ISBLANK(B1407),"OK",IF(A1407-B1407=0,"OK","Error?"))</f>
        <v>Error?</v>
      </c>
    </row>
    <row r="1408" spans="1:4" x14ac:dyDescent="0.2">
      <c r="A1408" s="5">
        <v>1347</v>
      </c>
      <c r="B1408" s="1832">
        <f>'Expenditures 15-22'!D223</f>
        <v>12995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76791</v>
      </c>
      <c r="C1410" s="2" t="s">
        <v>569</v>
      </c>
      <c r="D1410" s="2" t="str">
        <f t="shared" si="21"/>
        <v>Error?</v>
      </c>
    </row>
    <row r="1411" spans="1:4" x14ac:dyDescent="0.2">
      <c r="A1411" s="5">
        <v>1350</v>
      </c>
      <c r="B1411" s="1832">
        <f>'Expenditures 15-22'!D232</f>
        <v>1308</v>
      </c>
      <c r="D1411" s="2" t="str">
        <f t="shared" si="21"/>
        <v>Error?</v>
      </c>
    </row>
    <row r="1412" spans="1:4" x14ac:dyDescent="0.2">
      <c r="A1412" s="5">
        <v>1351</v>
      </c>
      <c r="B1412" s="1832">
        <f>'Expenditures 15-22'!D233</f>
        <v>10029</v>
      </c>
      <c r="D1412" s="2" t="str">
        <f t="shared" si="21"/>
        <v>Error?</v>
      </c>
    </row>
    <row r="1413" spans="1:4" x14ac:dyDescent="0.2">
      <c r="A1413" s="5">
        <v>1352</v>
      </c>
      <c r="B1413" s="1832">
        <f>'Expenditures 15-22'!D234</f>
        <v>4707</v>
      </c>
      <c r="D1413" s="2" t="str">
        <f t="shared" si="21"/>
        <v>Error?</v>
      </c>
    </row>
    <row r="1414" spans="1:4" x14ac:dyDescent="0.2">
      <c r="A1414" s="5">
        <v>1353</v>
      </c>
      <c r="B1414" s="1832">
        <f>'Expenditures 15-22'!D235</f>
        <v>151</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440</v>
      </c>
      <c r="D1416" s="2" t="str">
        <f t="shared" si="21"/>
        <v>Error?</v>
      </c>
    </row>
    <row r="1417" spans="1:4" x14ac:dyDescent="0.2">
      <c r="A1417" s="5">
        <v>1356</v>
      </c>
      <c r="B1417" s="1832">
        <f>'Expenditures 15-22'!D238</f>
        <v>16635</v>
      </c>
      <c r="C1417" s="2" t="s">
        <v>569</v>
      </c>
      <c r="D1417" s="2" t="str">
        <f t="shared" si="21"/>
        <v>Error?</v>
      </c>
    </row>
    <row r="1418" spans="1:4" x14ac:dyDescent="0.2">
      <c r="A1418" s="5">
        <v>1357</v>
      </c>
      <c r="B1418" s="1832">
        <f>'Expenditures 15-22'!D240</f>
        <v>79</v>
      </c>
      <c r="D1418" s="2" t="str">
        <f t="shared" si="21"/>
        <v>Error?</v>
      </c>
    </row>
    <row r="1419" spans="1:4" x14ac:dyDescent="0.2">
      <c r="A1419" s="5">
        <v>1358</v>
      </c>
      <c r="B1419" s="1832">
        <f>'Expenditures 15-22'!D241</f>
        <v>6387</v>
      </c>
      <c r="D1419" s="2" t="str">
        <f t="shared" si="21"/>
        <v>Error?</v>
      </c>
    </row>
    <row r="1420" spans="1:4" x14ac:dyDescent="0.2">
      <c r="A1420" s="5">
        <v>1359</v>
      </c>
      <c r="B1420" s="1832">
        <f>'Expenditures 15-22'!D242</f>
        <v>3</v>
      </c>
      <c r="D1420" s="2" t="str">
        <f t="shared" si="21"/>
        <v>Error?</v>
      </c>
    </row>
    <row r="1421" spans="1:4" x14ac:dyDescent="0.2">
      <c r="A1421" s="5">
        <v>1360</v>
      </c>
      <c r="B1421" s="1832">
        <f>'Expenditures 15-22'!D243</f>
        <v>6469</v>
      </c>
      <c r="C1421" s="2" t="s">
        <v>569</v>
      </c>
      <c r="D1421" s="2" t="str">
        <f t="shared" si="21"/>
        <v>Error?</v>
      </c>
    </row>
    <row r="1422" spans="1:4" x14ac:dyDescent="0.2">
      <c r="A1422" s="5">
        <v>1361</v>
      </c>
      <c r="B1422" s="1832">
        <f>'Expenditures 15-22'!D245</f>
        <v>238</v>
      </c>
      <c r="D1422" s="2" t="str">
        <f t="shared" si="21"/>
        <v>Error?</v>
      </c>
    </row>
    <row r="1423" spans="1:4" x14ac:dyDescent="0.2">
      <c r="A1423" s="5">
        <v>1362</v>
      </c>
      <c r="B1423" s="1832">
        <f>'Expenditures 15-22'!D246</f>
        <v>2750</v>
      </c>
      <c r="D1423" s="2" t="str">
        <f t="shared" si="21"/>
        <v>Error?</v>
      </c>
    </row>
    <row r="1424" spans="1:4" x14ac:dyDescent="0.2">
      <c r="A1424" s="5">
        <v>1363</v>
      </c>
      <c r="B1424" s="1832">
        <f>'Expenditures 15-22'!D257</f>
        <v>3681</v>
      </c>
      <c r="C1424" s="2" t="s">
        <v>569</v>
      </c>
      <c r="D1424" s="2" t="str">
        <f t="shared" si="21"/>
        <v>Error?</v>
      </c>
    </row>
    <row r="1425" spans="1:4" x14ac:dyDescent="0.2">
      <c r="A1425" s="5">
        <v>1364</v>
      </c>
      <c r="B1425" s="1832">
        <f>'Expenditures 15-22'!D259</f>
        <v>7907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7907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11651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45021</v>
      </c>
      <c r="D1431" s="2" t="str">
        <f t="shared" si="21"/>
        <v>Error?</v>
      </c>
    </row>
    <row r="1432" spans="1:4" x14ac:dyDescent="0.2">
      <c r="A1432" s="5">
        <v>1371</v>
      </c>
      <c r="B1432" s="1832">
        <f>'Expenditures 15-22'!D267</f>
        <v>93181</v>
      </c>
      <c r="D1432" s="2" t="str">
        <f t="shared" si="21"/>
        <v>Error?</v>
      </c>
    </row>
    <row r="1433" spans="1:4" x14ac:dyDescent="0.2">
      <c r="A1433" s="5">
        <v>1372</v>
      </c>
      <c r="B1433" s="1832">
        <f>'Expenditures 15-22'!D268</f>
        <v>19218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169071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203763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280554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885</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1911</v>
      </c>
      <c r="C1471" s="2" t="s">
        <v>569</v>
      </c>
      <c r="D1471" s="2" t="str">
        <f t="shared" ref="D1471:D1534" si="22">IF(ISBLANK(B1471),"OK",IF(A1471-B1471=0,"OK","Error?"))</f>
        <v>Error?</v>
      </c>
    </row>
    <row r="1472" spans="1:4" x14ac:dyDescent="0.2">
      <c r="A1472" s="5">
        <v>1411</v>
      </c>
      <c r="B1472" s="1832">
        <f>'Expenditures 15-22'!K223</f>
        <v>12995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76791</v>
      </c>
      <c r="C1474" s="2" t="s">
        <v>569</v>
      </c>
      <c r="D1474" s="2" t="str">
        <f t="shared" si="22"/>
        <v>Error?</v>
      </c>
    </row>
    <row r="1475" spans="1:4" x14ac:dyDescent="0.2">
      <c r="A1475" s="5">
        <v>1414</v>
      </c>
      <c r="B1475" s="1832">
        <f>'Expenditures 15-22'!K232</f>
        <v>1308</v>
      </c>
      <c r="C1475" s="2" t="s">
        <v>569</v>
      </c>
      <c r="D1475" s="2" t="str">
        <f t="shared" si="22"/>
        <v>Error?</v>
      </c>
    </row>
    <row r="1476" spans="1:4" x14ac:dyDescent="0.2">
      <c r="A1476" s="5">
        <v>1415</v>
      </c>
      <c r="B1476" s="1832">
        <f>'Expenditures 15-22'!K233</f>
        <v>10029</v>
      </c>
      <c r="C1476" s="2" t="s">
        <v>569</v>
      </c>
      <c r="D1476" s="2" t="str">
        <f t="shared" si="22"/>
        <v>Error?</v>
      </c>
    </row>
    <row r="1477" spans="1:4" x14ac:dyDescent="0.2">
      <c r="A1477" s="5">
        <v>1416</v>
      </c>
      <c r="B1477" s="1832">
        <f>'Expenditures 15-22'!K234</f>
        <v>4707</v>
      </c>
      <c r="C1477" s="2" t="s">
        <v>569</v>
      </c>
      <c r="D1477" s="2" t="str">
        <f t="shared" si="22"/>
        <v>Error?</v>
      </c>
    </row>
    <row r="1478" spans="1:4" x14ac:dyDescent="0.2">
      <c r="A1478" s="5">
        <v>1417</v>
      </c>
      <c r="B1478" s="1832">
        <f>'Expenditures 15-22'!K235</f>
        <v>151</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440</v>
      </c>
      <c r="C1480" s="2" t="s">
        <v>569</v>
      </c>
      <c r="D1480" s="2" t="str">
        <f t="shared" si="22"/>
        <v>Error?</v>
      </c>
    </row>
    <row r="1481" spans="1:4" x14ac:dyDescent="0.2">
      <c r="A1481" s="5">
        <v>1420</v>
      </c>
      <c r="B1481" s="1832">
        <f>'Expenditures 15-22'!K238</f>
        <v>16635</v>
      </c>
      <c r="C1481" s="2" t="s">
        <v>569</v>
      </c>
      <c r="D1481" s="2" t="str">
        <f t="shared" si="22"/>
        <v>Error?</v>
      </c>
    </row>
    <row r="1482" spans="1:4" x14ac:dyDescent="0.2">
      <c r="A1482" s="5">
        <v>1421</v>
      </c>
      <c r="B1482" s="1832">
        <f>'Expenditures 15-22'!K240</f>
        <v>79</v>
      </c>
      <c r="C1482" s="2" t="s">
        <v>569</v>
      </c>
      <c r="D1482" s="2" t="str">
        <f t="shared" si="22"/>
        <v>Error?</v>
      </c>
    </row>
    <row r="1483" spans="1:4" x14ac:dyDescent="0.2">
      <c r="A1483" s="5">
        <v>1422</v>
      </c>
      <c r="B1483" s="1832">
        <f>'Expenditures 15-22'!K241</f>
        <v>6387</v>
      </c>
      <c r="C1483" s="2" t="s">
        <v>569</v>
      </c>
      <c r="D1483" s="2" t="str">
        <f t="shared" si="22"/>
        <v>Error?</v>
      </c>
    </row>
    <row r="1484" spans="1:4" x14ac:dyDescent="0.2">
      <c r="A1484" s="5">
        <v>1423</v>
      </c>
      <c r="B1484" s="1832">
        <f>'Expenditures 15-22'!K242</f>
        <v>3</v>
      </c>
      <c r="C1484" s="2" t="s">
        <v>569</v>
      </c>
      <c r="D1484" s="2" t="str">
        <f t="shared" si="22"/>
        <v>Error?</v>
      </c>
    </row>
    <row r="1485" spans="1:4" x14ac:dyDescent="0.2">
      <c r="A1485" s="5">
        <v>1424</v>
      </c>
      <c r="B1485" s="1832">
        <f>'Expenditures 15-22'!K243</f>
        <v>6469</v>
      </c>
      <c r="C1485" s="2" t="s">
        <v>569</v>
      </c>
      <c r="D1485" s="2" t="str">
        <f t="shared" si="22"/>
        <v>Error?</v>
      </c>
    </row>
    <row r="1486" spans="1:4" x14ac:dyDescent="0.2">
      <c r="A1486" s="5">
        <v>1425</v>
      </c>
      <c r="B1486" s="1832">
        <f>'Expenditures 15-22'!K245</f>
        <v>238</v>
      </c>
      <c r="C1486" s="2" t="s">
        <v>569</v>
      </c>
      <c r="D1486" s="2" t="str">
        <f t="shared" si="22"/>
        <v>Error?</v>
      </c>
    </row>
    <row r="1487" spans="1:4" x14ac:dyDescent="0.2">
      <c r="A1487" s="5">
        <v>1426</v>
      </c>
      <c r="B1487" s="1832">
        <f>'Expenditures 15-22'!K246</f>
        <v>2750</v>
      </c>
      <c r="C1487" s="2" t="s">
        <v>569</v>
      </c>
      <c r="D1487" s="2" t="str">
        <f t="shared" si="22"/>
        <v>Error?</v>
      </c>
    </row>
    <row r="1488" spans="1:4" x14ac:dyDescent="0.2">
      <c r="A1488" s="5">
        <v>1427</v>
      </c>
      <c r="B1488" s="1832">
        <f>'Expenditures 15-22'!K257</f>
        <v>3681</v>
      </c>
      <c r="C1488" s="2" t="s">
        <v>569</v>
      </c>
      <c r="D1488" s="2" t="str">
        <f t="shared" si="22"/>
        <v>Error?</v>
      </c>
    </row>
    <row r="1489" spans="1:4" x14ac:dyDescent="0.2">
      <c r="A1489" s="5">
        <v>1428</v>
      </c>
      <c r="B1489" s="1832">
        <f>'Expenditures 15-22'!K259</f>
        <v>7907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7907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11651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45021</v>
      </c>
      <c r="C1495" s="2" t="s">
        <v>569</v>
      </c>
      <c r="D1495" s="2" t="str">
        <f t="shared" si="22"/>
        <v>Error?</v>
      </c>
    </row>
    <row r="1496" spans="1:4" x14ac:dyDescent="0.2">
      <c r="A1496" s="5">
        <v>1435</v>
      </c>
      <c r="B1496" s="1832">
        <f>'Expenditures 15-22'!K267</f>
        <v>93181</v>
      </c>
      <c r="C1496" s="2" t="s">
        <v>569</v>
      </c>
      <c r="D1496" s="2" t="str">
        <f t="shared" si="22"/>
        <v>Error?</v>
      </c>
    </row>
    <row r="1497" spans="1:4" x14ac:dyDescent="0.2">
      <c r="A1497" s="5">
        <v>1436</v>
      </c>
      <c r="B1497" s="1832">
        <f>'Expenditures 15-22'!K268</f>
        <v>19218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169071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203763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280554</v>
      </c>
      <c r="C1517" s="2" t="s">
        <v>569</v>
      </c>
      <c r="D1517" s="2" t="str">
        <f t="shared" si="22"/>
        <v>Error?</v>
      </c>
    </row>
    <row r="1518" spans="1:4" x14ac:dyDescent="0.2">
      <c r="A1518" s="5">
        <v>1457</v>
      </c>
      <c r="B1518" s="1832">
        <f>'Expenditures 15-22'!K296</f>
        <v>5834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1500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1500</v>
      </c>
      <c r="C1535" s="2" t="s">
        <v>569</v>
      </c>
      <c r="D1535" s="2" t="str">
        <f t="shared" ref="D1535:D1598" si="23">IF(ISBLANK(B1535),"OK",IF(A1535-B1535=0,"OK","Error?"))</f>
        <v>Error?</v>
      </c>
    </row>
    <row r="1536" spans="1:4" x14ac:dyDescent="0.2">
      <c r="A1536" s="5">
        <v>1475</v>
      </c>
      <c r="B1536" s="1832">
        <f>'Expenditures 15-22'!E312</f>
        <v>1500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711984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711984</v>
      </c>
      <c r="C1547" s="2" t="s">
        <v>569</v>
      </c>
      <c r="D1547" s="2" t="str">
        <f t="shared" si="23"/>
        <v>Error?</v>
      </c>
    </row>
    <row r="1548" spans="1:4" x14ac:dyDescent="0.2">
      <c r="A1548" s="5">
        <v>1487</v>
      </c>
      <c r="B1548" s="1832">
        <f>'Expenditures 15-22'!G312</f>
        <v>711984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713484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713484</v>
      </c>
      <c r="C1559" s="2" t="s">
        <v>569</v>
      </c>
      <c r="D1559" s="2" t="str">
        <f t="shared" si="23"/>
        <v>Error?</v>
      </c>
    </row>
    <row r="1560" spans="1:4" x14ac:dyDescent="0.2">
      <c r="A1560" s="5">
        <v>1499</v>
      </c>
      <c r="B1560" s="1832">
        <f>'Expenditures 15-22'!K312</f>
        <v>713484</v>
      </c>
      <c r="C1560" s="2" t="s">
        <v>569</v>
      </c>
      <c r="D1560" s="2" t="str">
        <f t="shared" si="23"/>
        <v>Error?</v>
      </c>
    </row>
    <row r="1561" spans="1:4" x14ac:dyDescent="0.2">
      <c r="A1561" s="5">
        <v>1500</v>
      </c>
      <c r="B1561" s="1832">
        <f>'Expenditures 15-22'!K313</f>
        <v>-638500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2482870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2760487</v>
      </c>
      <c r="C1630" s="2" t="s">
        <v>569</v>
      </c>
      <c r="D1630" s="2" t="str">
        <f t="shared" si="24"/>
        <v>Error?</v>
      </c>
    </row>
    <row r="1631" spans="1:4" x14ac:dyDescent="0.2">
      <c r="A1631" s="5">
        <v>1570</v>
      </c>
      <c r="B1631" s="1832">
        <f>'Acct Summary 7-8'!D79</f>
        <v>823210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985901</v>
      </c>
      <c r="C1644" s="2" t="s">
        <v>569</v>
      </c>
      <c r="D1644" s="2" t="str">
        <f t="shared" si="24"/>
        <v>Error?</v>
      </c>
    </row>
    <row r="1645" spans="1:4" x14ac:dyDescent="0.2">
      <c r="A1645" s="5">
        <v>1584</v>
      </c>
      <c r="B1645" s="1832">
        <f>'Acct Summary 7-8'!E79</f>
        <v>101994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114780</v>
      </c>
      <c r="C1658" s="2" t="s">
        <v>569</v>
      </c>
      <c r="D1658" s="2" t="str">
        <f t="shared" si="24"/>
        <v>Error?</v>
      </c>
    </row>
    <row r="1659" spans="1:4" x14ac:dyDescent="0.2">
      <c r="A1659" s="5">
        <v>1598</v>
      </c>
      <c r="B1659" s="1832">
        <f>'Acct Summary 7-8'!F79</f>
        <v>508980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509370</v>
      </c>
      <c r="C1672" s="2" t="s">
        <v>569</v>
      </c>
      <c r="D1672" s="2" t="str">
        <f t="shared" si="25"/>
        <v>Error?</v>
      </c>
    </row>
    <row r="1673" spans="1:4" x14ac:dyDescent="0.2">
      <c r="A1673" s="5">
        <v>1612</v>
      </c>
      <c r="B1673" s="1832">
        <f>'Acct Summary 7-8'!G79</f>
        <v>496381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502215</v>
      </c>
      <c r="C1686" s="2" t="s">
        <v>569</v>
      </c>
      <c r="D1686" s="2" t="str">
        <f t="shared" si="25"/>
        <v>Error?</v>
      </c>
    </row>
    <row r="1687" spans="1:4" x14ac:dyDescent="0.2">
      <c r="A1687" s="5">
        <v>1626</v>
      </c>
      <c r="B1687" s="1832">
        <f>'Acct Summary 7-8'!H79</f>
        <v>195855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1087355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2973048</v>
      </c>
      <c r="C1744" s="2" t="s">
        <v>569</v>
      </c>
      <c r="D1744" s="2" t="str">
        <f t="shared" si="26"/>
        <v>Error?</v>
      </c>
    </row>
    <row r="1745" spans="1:5" x14ac:dyDescent="0.2">
      <c r="A1745" s="5">
        <v>1684</v>
      </c>
      <c r="B1745" s="1832">
        <f>'Tax Sched 23'!B5</f>
        <v>542527</v>
      </c>
      <c r="C1745" s="2" t="s">
        <v>569</v>
      </c>
      <c r="D1745" s="2" t="str">
        <f t="shared" si="26"/>
        <v>Error?</v>
      </c>
    </row>
    <row r="1746" spans="1:5" x14ac:dyDescent="0.2">
      <c r="A1746" s="5">
        <v>1685</v>
      </c>
      <c r="B1746" s="1832">
        <f>'Tax Sched 23'!B6</f>
        <v>764147</v>
      </c>
      <c r="C1746" s="2" t="s">
        <v>569</v>
      </c>
      <c r="D1746" s="2" t="str">
        <f t="shared" si="26"/>
        <v>Error?</v>
      </c>
    </row>
    <row r="1747" spans="1:5" x14ac:dyDescent="0.2">
      <c r="A1747" s="5">
        <v>1686</v>
      </c>
      <c r="B1747" s="1832">
        <f>'Tax Sched 23'!B7</f>
        <v>260413</v>
      </c>
      <c r="C1747" s="2" t="s">
        <v>569</v>
      </c>
      <c r="D1747" s="2" t="str">
        <f t="shared" si="26"/>
        <v>Error?</v>
      </c>
    </row>
    <row r="1748" spans="1:5" x14ac:dyDescent="0.2">
      <c r="A1748" s="5">
        <v>1687</v>
      </c>
      <c r="B1748" s="1832">
        <f>'Tax Sched 23'!B8</f>
        <v>95376</v>
      </c>
      <c r="C1748" s="2" t="s">
        <v>569</v>
      </c>
      <c r="D1748" s="2" t="str">
        <f t="shared" si="26"/>
        <v>Error?</v>
      </c>
    </row>
    <row r="1749" spans="1:5" x14ac:dyDescent="0.2">
      <c r="A1749" s="5">
        <v>1688</v>
      </c>
      <c r="B1749" s="1832">
        <f>'Tax Sched 23'!B10</f>
        <v>108505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286085</v>
      </c>
      <c r="C1752" s="2" t="s">
        <v>569</v>
      </c>
      <c r="D1752" s="2" t="str">
        <f t="shared" si="26"/>
        <v>Error?</v>
      </c>
    </row>
    <row r="1753" spans="1:5" x14ac:dyDescent="0.2">
      <c r="A1753" s="5">
        <v>1692</v>
      </c>
      <c r="B1753" s="1832">
        <f>'Tax Sched 23'!B12</f>
        <v>22222</v>
      </c>
      <c r="C1753" s="2" t="s">
        <v>569</v>
      </c>
      <c r="D1753" s="2" t="str">
        <f t="shared" si="26"/>
        <v>Error?</v>
      </c>
    </row>
    <row r="1754" spans="1:5" x14ac:dyDescent="0.2">
      <c r="A1754" s="5">
        <v>1693</v>
      </c>
      <c r="B1754" s="1832">
        <f>'Tax Sched 23'!B14</f>
        <v>43403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5267794</v>
      </c>
      <c r="C1759" s="2" t="s">
        <v>569</v>
      </c>
      <c r="D1759" s="2" t="str">
        <f t="shared" si="26"/>
        <v>Error?</v>
      </c>
    </row>
    <row r="1760" spans="1:5" x14ac:dyDescent="0.2">
      <c r="A1760" s="5">
        <v>1699</v>
      </c>
      <c r="B1760" s="1832">
        <f>'Tax Sched 23'!D4</f>
        <v>2973048</v>
      </c>
      <c r="C1760" s="2" t="s">
        <v>569</v>
      </c>
      <c r="D1760" s="2" t="str">
        <f t="shared" si="26"/>
        <v>Error?</v>
      </c>
    </row>
    <row r="1761" spans="1:7" x14ac:dyDescent="0.2">
      <c r="A1761" s="5">
        <v>1700</v>
      </c>
      <c r="B1761" s="1832">
        <f>'Tax Sched 23'!D5</f>
        <v>542527</v>
      </c>
      <c r="C1761" s="2" t="s">
        <v>569</v>
      </c>
      <c r="D1761" s="2" t="str">
        <f t="shared" si="26"/>
        <v>Error?</v>
      </c>
    </row>
    <row r="1762" spans="1:7" s="8" customFormat="1" x14ac:dyDescent="0.2">
      <c r="A1762" s="5">
        <v>1701</v>
      </c>
      <c r="B1762" s="1832">
        <f>'Tax Sched 23'!D6</f>
        <v>764147</v>
      </c>
      <c r="C1762" s="2" t="s">
        <v>569</v>
      </c>
      <c r="D1762" s="2" t="str">
        <f t="shared" si="26"/>
        <v>Error?</v>
      </c>
      <c r="E1762" s="9"/>
      <c r="G1762"/>
    </row>
    <row r="1763" spans="1:7" x14ac:dyDescent="0.2">
      <c r="A1763" s="5">
        <v>1702</v>
      </c>
      <c r="B1763" s="1832">
        <f>'Tax Sched 23'!D7</f>
        <v>260413</v>
      </c>
      <c r="C1763" s="2" t="s">
        <v>569</v>
      </c>
      <c r="D1763" s="2" t="str">
        <f t="shared" si="26"/>
        <v>Error?</v>
      </c>
    </row>
    <row r="1764" spans="1:7" x14ac:dyDescent="0.2">
      <c r="A1764" s="5">
        <v>1703</v>
      </c>
      <c r="B1764" s="1832">
        <f>'Tax Sched 23'!D8</f>
        <v>95376</v>
      </c>
      <c r="C1764" s="2" t="s">
        <v>569</v>
      </c>
      <c r="D1764" s="2" t="str">
        <f t="shared" si="26"/>
        <v>Error?</v>
      </c>
    </row>
    <row r="1765" spans="1:7" x14ac:dyDescent="0.2">
      <c r="A1765" s="5">
        <v>1704</v>
      </c>
      <c r="B1765" s="1832">
        <f>'Tax Sched 23'!D10</f>
        <v>108505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286085</v>
      </c>
      <c r="C1768" s="2" t="s">
        <v>569</v>
      </c>
      <c r="D1768" s="2" t="str">
        <f t="shared" si="26"/>
        <v>Error?</v>
      </c>
    </row>
    <row r="1769" spans="1:7" x14ac:dyDescent="0.2">
      <c r="A1769" s="5">
        <v>1708</v>
      </c>
      <c r="B1769" s="1832">
        <f>'Tax Sched 23'!D12</f>
        <v>22222</v>
      </c>
      <c r="C1769" s="2" t="s">
        <v>569</v>
      </c>
      <c r="D1769" s="2" t="str">
        <f t="shared" si="26"/>
        <v>Error?</v>
      </c>
    </row>
    <row r="1770" spans="1:7" x14ac:dyDescent="0.2">
      <c r="A1770" s="5">
        <v>1709</v>
      </c>
      <c r="B1770" s="1832">
        <f>'Tax Sched 23'!D14</f>
        <v>43403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5267794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3129730</v>
      </c>
      <c r="C1792" s="2" t="s">
        <v>569</v>
      </c>
      <c r="D1792" s="2" t="str">
        <f t="shared" si="27"/>
        <v>Error?</v>
      </c>
    </row>
    <row r="1793" spans="1:4" x14ac:dyDescent="0.2">
      <c r="A1793" s="5">
        <v>1732</v>
      </c>
      <c r="B1793" s="1832">
        <f>'Tax Sched 23'!F5</f>
        <v>571119</v>
      </c>
      <c r="C1793" s="2" t="s">
        <v>569</v>
      </c>
      <c r="D1793" s="2" t="str">
        <f t="shared" si="27"/>
        <v>Error?</v>
      </c>
    </row>
    <row r="1794" spans="1:4" x14ac:dyDescent="0.2">
      <c r="A1794" s="5">
        <v>1733</v>
      </c>
      <c r="B1794" s="1832">
        <f>'Tax Sched 23'!F6</f>
        <v>363209</v>
      </c>
      <c r="C1794" s="2" t="s">
        <v>569</v>
      </c>
      <c r="D1794" s="2" t="str">
        <f t="shared" si="27"/>
        <v>Error?</v>
      </c>
    </row>
    <row r="1795" spans="1:4" x14ac:dyDescent="0.2">
      <c r="A1795" s="5">
        <v>1734</v>
      </c>
      <c r="B1795" s="1832">
        <f>'Tax Sched 23'!F7</f>
        <v>274137</v>
      </c>
      <c r="C1795" s="2" t="s">
        <v>569</v>
      </c>
      <c r="D1795" s="2" t="str">
        <f t="shared" si="27"/>
        <v>Error?</v>
      </c>
    </row>
    <row r="1796" spans="1:4" x14ac:dyDescent="0.2">
      <c r="A1796" s="5">
        <v>1735</v>
      </c>
      <c r="B1796" s="1832">
        <f>'Tax Sched 23'!F8</f>
        <v>85005</v>
      </c>
      <c r="C1796" s="2" t="s">
        <v>569</v>
      </c>
      <c r="D1796" s="2" t="str">
        <f t="shared" si="27"/>
        <v>Error?</v>
      </c>
    </row>
    <row r="1797" spans="1:4" x14ac:dyDescent="0.2">
      <c r="A1797" s="5">
        <v>1736</v>
      </c>
      <c r="B1797" s="1832">
        <f>'Tax Sched 23'!F10</f>
        <v>114224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298512</v>
      </c>
      <c r="C1800" s="2" t="s">
        <v>569</v>
      </c>
      <c r="D1800" s="2" t="str">
        <f t="shared" si="27"/>
        <v>Error?</v>
      </c>
    </row>
    <row r="1801" spans="1:4" x14ac:dyDescent="0.2">
      <c r="A1801" s="5">
        <v>1740</v>
      </c>
      <c r="B1801" s="1832">
        <f>'Tax Sched 23'!F12</f>
        <v>23279</v>
      </c>
      <c r="C1801" s="2" t="s">
        <v>569</v>
      </c>
      <c r="D1801" s="2" t="str">
        <f t="shared" si="27"/>
        <v>Error?</v>
      </c>
    </row>
    <row r="1802" spans="1:4" x14ac:dyDescent="0.2">
      <c r="A1802" s="5">
        <v>1741</v>
      </c>
      <c r="B1802" s="1832">
        <f>'Tax Sched 23'!F14</f>
        <v>45689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5069729</v>
      </c>
      <c r="C1807" s="2" t="s">
        <v>569</v>
      </c>
      <c r="D1807" s="2" t="str">
        <f t="shared" si="27"/>
        <v>Error?</v>
      </c>
    </row>
    <row r="1808" spans="1:4" x14ac:dyDescent="0.2">
      <c r="A1808" s="5">
        <v>1747</v>
      </c>
      <c r="B1808" s="1832">
        <f>'Tax Sched 23'!E4</f>
        <v>3129730</v>
      </c>
      <c r="D1808" s="2" t="str">
        <f t="shared" si="27"/>
        <v>Error?</v>
      </c>
    </row>
    <row r="1809" spans="1:4" x14ac:dyDescent="0.2">
      <c r="A1809" s="5">
        <v>1748</v>
      </c>
      <c r="B1809" s="1832">
        <f>'Tax Sched 23'!E5</f>
        <v>571119</v>
      </c>
      <c r="D1809" s="2" t="str">
        <f t="shared" si="27"/>
        <v>Error?</v>
      </c>
    </row>
    <row r="1810" spans="1:4" x14ac:dyDescent="0.2">
      <c r="A1810" s="5">
        <v>1749</v>
      </c>
      <c r="B1810" s="1832">
        <f>'Tax Sched 23'!E6</f>
        <v>363209</v>
      </c>
      <c r="D1810" s="2" t="str">
        <f t="shared" si="27"/>
        <v>Error?</v>
      </c>
    </row>
    <row r="1811" spans="1:4" x14ac:dyDescent="0.2">
      <c r="A1811" s="5">
        <v>1750</v>
      </c>
      <c r="B1811" s="1832">
        <f>'Tax Sched 23'!E7</f>
        <v>274137</v>
      </c>
      <c r="D1811" s="2" t="str">
        <f t="shared" si="27"/>
        <v>Error?</v>
      </c>
    </row>
    <row r="1812" spans="1:4" x14ac:dyDescent="0.2">
      <c r="A1812" s="5">
        <v>1751</v>
      </c>
      <c r="B1812" s="1832">
        <f>'Tax Sched 23'!E8</f>
        <v>85005</v>
      </c>
      <c r="D1812" s="2" t="str">
        <f t="shared" si="27"/>
        <v>Error?</v>
      </c>
    </row>
    <row r="1813" spans="1:4" x14ac:dyDescent="0.2">
      <c r="A1813" s="5">
        <v>1752</v>
      </c>
      <c r="B1813" s="1832">
        <f>'Tax Sched 23'!E10</f>
        <v>114224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298512</v>
      </c>
      <c r="D1816" s="2" t="str">
        <f t="shared" si="27"/>
        <v>Error?</v>
      </c>
    </row>
    <row r="1817" spans="1:4" x14ac:dyDescent="0.2">
      <c r="A1817" s="5">
        <v>1756</v>
      </c>
      <c r="B1817" s="1832">
        <f>'Tax Sched 23'!E12</f>
        <v>23279</v>
      </c>
      <c r="D1817" s="2" t="str">
        <f t="shared" si="27"/>
        <v>Error?</v>
      </c>
    </row>
    <row r="1818" spans="1:4" x14ac:dyDescent="0.2">
      <c r="A1818" s="5">
        <v>1757</v>
      </c>
      <c r="B1818" s="1832">
        <f>'Tax Sched 23'!E14</f>
        <v>45689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5069729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1610000</v>
      </c>
      <c r="C1939" s="2" t="s">
        <v>569</v>
      </c>
      <c r="D1939" s="2" t="str">
        <f t="shared" si="29"/>
        <v>Error?</v>
      </c>
    </row>
    <row r="1940" spans="1:5" x14ac:dyDescent="0.2">
      <c r="A1940" s="5">
        <v>1879</v>
      </c>
      <c r="B1940" s="1832">
        <f>'Short-Term Long-Term Debt 24'!F49</f>
        <v>1485000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43403</v>
      </c>
      <c r="D1972" s="2" t="str">
        <f t="shared" si="29"/>
        <v>Error?</v>
      </c>
    </row>
    <row r="1973" spans="1:5" x14ac:dyDescent="0.2">
      <c r="A1973" s="5">
        <v>1912</v>
      </c>
      <c r="B1973" s="1832">
        <f>'Rest Tax Levies-Tort Im 25'!H6</f>
        <v>40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43443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43443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665342</v>
      </c>
      <c r="D2008" s="2" t="str">
        <f t="shared" si="30"/>
        <v>Error?</v>
      </c>
    </row>
    <row r="2009" spans="1:4" x14ac:dyDescent="0.2">
      <c r="A2009" s="5">
        <v>1948</v>
      </c>
      <c r="B2009" s="1832">
        <f>'Cap Outlay Deprec 26'!C8</f>
        <v>22779625</v>
      </c>
      <c r="D2009" s="2" t="str">
        <f t="shared" si="30"/>
        <v>Error?</v>
      </c>
    </row>
    <row r="2010" spans="1:4" x14ac:dyDescent="0.2">
      <c r="A2010" s="5">
        <v>1949</v>
      </c>
      <c r="B2010" s="1832">
        <f>'Cap Outlay Deprec 26'!C10</f>
        <v>5762789</v>
      </c>
      <c r="D2010" s="2" t="str">
        <f t="shared" si="30"/>
        <v>Error?</v>
      </c>
    </row>
    <row r="2011" spans="1:4" x14ac:dyDescent="0.2">
      <c r="A2011" s="5">
        <v>1950</v>
      </c>
      <c r="B2011" s="1832">
        <f>'Cap Outlay Deprec 26'!C12</f>
        <v>395313</v>
      </c>
      <c r="D2011" s="2" t="str">
        <f t="shared" si="30"/>
        <v>Error?</v>
      </c>
    </row>
    <row r="2012" spans="1:4" x14ac:dyDescent="0.2">
      <c r="A2012" s="5">
        <v>1951</v>
      </c>
      <c r="B2012" s="1832">
        <f>'Cap Outlay Deprec 26'!C13</f>
        <v>2128057</v>
      </c>
      <c r="D2012" s="2" t="str">
        <f t="shared" si="30"/>
        <v>Error?</v>
      </c>
    </row>
    <row r="2013" spans="1:4" x14ac:dyDescent="0.2">
      <c r="A2013" s="5">
        <v>1952</v>
      </c>
      <c r="B2013" s="1832">
        <f>'Cap Outlay Deprec 26'!C16</f>
        <v>32258063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1133054</v>
      </c>
      <c r="D2015" s="2" t="str">
        <f t="shared" si="30"/>
        <v>Error?</v>
      </c>
    </row>
    <row r="2016" spans="1:4" x14ac:dyDescent="0.2">
      <c r="A2016" s="5">
        <v>1955</v>
      </c>
      <c r="B2016" s="1832">
        <f>'Cap Outlay Deprec 26'!D10</f>
        <v>49779</v>
      </c>
      <c r="D2016" s="2" t="str">
        <f t="shared" si="30"/>
        <v>Error?</v>
      </c>
    </row>
    <row r="2017" spans="1:4" x14ac:dyDescent="0.2">
      <c r="A2017" s="5">
        <v>1956</v>
      </c>
      <c r="B2017" s="1832">
        <f>'Cap Outlay Deprec 26'!D12</f>
        <v>57637</v>
      </c>
      <c r="D2017" s="2" t="str">
        <f t="shared" si="30"/>
        <v>Error?</v>
      </c>
    </row>
    <row r="2018" spans="1:4" x14ac:dyDescent="0.2">
      <c r="A2018" s="5">
        <v>1957</v>
      </c>
      <c r="B2018" s="1832">
        <f>'Cap Outlay Deprec 26'!D13</f>
        <v>148043</v>
      </c>
      <c r="D2018" s="2" t="str">
        <f t="shared" si="30"/>
        <v>Error?</v>
      </c>
    </row>
    <row r="2019" spans="1:4" x14ac:dyDescent="0.2">
      <c r="A2019" s="5">
        <v>1958</v>
      </c>
      <c r="B2019" s="1832">
        <f>'Cap Outlay Deprec 26'!D16</f>
        <v>1388513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57514</v>
      </c>
      <c r="D2023" s="2" t="str">
        <f t="shared" si="30"/>
        <v>Error?</v>
      </c>
    </row>
    <row r="2024" spans="1:4" x14ac:dyDescent="0.2">
      <c r="A2024" s="5">
        <v>1963</v>
      </c>
      <c r="B2024" s="1832">
        <f>'Cap Outlay Deprec 26'!E13</f>
        <v>133800</v>
      </c>
      <c r="D2024" s="2" t="str">
        <f t="shared" si="30"/>
        <v>Error?</v>
      </c>
    </row>
    <row r="2025" spans="1:4" x14ac:dyDescent="0.2">
      <c r="A2025" s="5">
        <v>1964</v>
      </c>
      <c r="B2025" s="1832">
        <f>'Cap Outlay Deprec 26'!E16</f>
        <v>612384</v>
      </c>
      <c r="C2025" s="2" t="s">
        <v>569</v>
      </c>
      <c r="D2025" s="2" t="str">
        <f t="shared" si="30"/>
        <v>Error?</v>
      </c>
    </row>
    <row r="2026" spans="1:4" x14ac:dyDescent="0.2">
      <c r="A2026" s="5">
        <v>1965</v>
      </c>
      <c r="B2026" s="1832">
        <f>'Cap Outlay Deprec 26'!F5</f>
        <v>665342</v>
      </c>
      <c r="C2026" s="2" t="s">
        <v>569</v>
      </c>
      <c r="D2026" s="2" t="str">
        <f t="shared" si="30"/>
        <v>Error?</v>
      </c>
    </row>
    <row r="2027" spans="1:4" x14ac:dyDescent="0.2">
      <c r="A2027" s="5">
        <v>1966</v>
      </c>
      <c r="B2027" s="1832">
        <f>'Cap Outlay Deprec 26'!F8</f>
        <v>23912679</v>
      </c>
      <c r="C2027" s="2" t="s">
        <v>569</v>
      </c>
      <c r="D2027" s="2" t="str">
        <f t="shared" si="30"/>
        <v>Error?</v>
      </c>
    </row>
    <row r="2028" spans="1:4" x14ac:dyDescent="0.2">
      <c r="A2028" s="5">
        <v>1967</v>
      </c>
      <c r="B2028" s="1832">
        <f>'Cap Outlay Deprec 26'!F10</f>
        <v>5812568</v>
      </c>
      <c r="C2028" s="2" t="s">
        <v>569</v>
      </c>
      <c r="D2028" s="2" t="str">
        <f t="shared" si="30"/>
        <v>Error?</v>
      </c>
    </row>
    <row r="2029" spans="1:4" x14ac:dyDescent="0.2">
      <c r="A2029" s="5">
        <v>1968</v>
      </c>
      <c r="B2029" s="1832">
        <f>'Cap Outlay Deprec 26'!F12</f>
        <v>395436</v>
      </c>
      <c r="C2029" s="2" t="s">
        <v>569</v>
      </c>
      <c r="D2029" s="2" t="str">
        <f t="shared" si="30"/>
        <v>Error?</v>
      </c>
    </row>
    <row r="2030" spans="1:4" x14ac:dyDescent="0.2">
      <c r="A2030" s="5">
        <v>1969</v>
      </c>
      <c r="B2030" s="1832">
        <f>'Cap Outlay Deprec 26'!F13</f>
        <v>2142300</v>
      </c>
      <c r="C2030" s="2" t="s">
        <v>569</v>
      </c>
      <c r="D2030" s="2" t="str">
        <f t="shared" si="30"/>
        <v>Error?</v>
      </c>
    </row>
    <row r="2031" spans="1:4" x14ac:dyDescent="0.2">
      <c r="A2031" s="5">
        <v>1970</v>
      </c>
      <c r="B2031" s="1832">
        <f>'Cap Outlay Deprec 26'!F16</f>
        <v>33034192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7798136</v>
      </c>
      <c r="D2033" s="2" t="str">
        <f t="shared" si="30"/>
        <v>Error?</v>
      </c>
    </row>
    <row r="2034" spans="1:4" x14ac:dyDescent="0.2">
      <c r="A2034" s="5">
        <v>1973</v>
      </c>
      <c r="B2034" s="1832">
        <f>'Cap Outlay Deprec 26'!H10</f>
        <v>2654059</v>
      </c>
      <c r="D2034" s="2" t="str">
        <f t="shared" si="30"/>
        <v>Error?</v>
      </c>
    </row>
    <row r="2035" spans="1:4" x14ac:dyDescent="0.2">
      <c r="A2035" s="5">
        <v>1974</v>
      </c>
      <c r="B2035" s="1832">
        <f>'Cap Outlay Deprec 26'!H12</f>
        <v>249340</v>
      </c>
      <c r="D2035" s="2" t="str">
        <f t="shared" si="30"/>
        <v>Error?</v>
      </c>
    </row>
    <row r="2036" spans="1:4" x14ac:dyDescent="0.2">
      <c r="A2036" s="5">
        <v>1975</v>
      </c>
      <c r="B2036" s="1832">
        <f>'Cap Outlay Deprec 26'!H13</f>
        <v>1686507</v>
      </c>
      <c r="D2036" s="2" t="str">
        <f t="shared" si="30"/>
        <v>Error?</v>
      </c>
    </row>
    <row r="2037" spans="1:4" x14ac:dyDescent="0.2">
      <c r="A2037" s="5">
        <v>1976</v>
      </c>
      <c r="B2037" s="1832">
        <f>'Cap Outlay Deprec 26'!H16</f>
        <v>12412139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474447</v>
      </c>
      <c r="D2039" s="2" t="str">
        <f t="shared" si="30"/>
        <v>Error?</v>
      </c>
    </row>
    <row r="2040" spans="1:4" x14ac:dyDescent="0.2">
      <c r="A2040" s="5">
        <v>1979</v>
      </c>
      <c r="B2040" s="1832">
        <f>'Cap Outlay Deprec 26'!I10</f>
        <v>290628</v>
      </c>
      <c r="D2040" s="2" t="str">
        <f t="shared" si="30"/>
        <v>Error?</v>
      </c>
    </row>
    <row r="2041" spans="1:4" x14ac:dyDescent="0.2">
      <c r="A2041" s="5">
        <v>1980</v>
      </c>
      <c r="B2041" s="1832">
        <f>'Cap Outlay Deprec 26'!I12</f>
        <v>39548</v>
      </c>
      <c r="D2041" s="2" t="str">
        <f t="shared" si="30"/>
        <v>Error?</v>
      </c>
    </row>
    <row r="2042" spans="1:4" x14ac:dyDescent="0.2">
      <c r="A2042" s="5">
        <v>1981</v>
      </c>
      <c r="B2042" s="1832">
        <f>'Cap Outlay Deprec 26'!I13</f>
        <v>190099</v>
      </c>
      <c r="D2042" s="2" t="str">
        <f t="shared" si="30"/>
        <v>Error?</v>
      </c>
    </row>
    <row r="2043" spans="1:4" x14ac:dyDescent="0.2">
      <c r="A2043" s="5">
        <v>1982</v>
      </c>
      <c r="B2043" s="1832">
        <f>'Cap Outlay Deprec 26'!I16</f>
        <v>996766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57514</v>
      </c>
      <c r="D2047" s="2" t="str">
        <f t="shared" ref="D2047:D2110" si="31">IF(ISBLANK(B2047),"OK",IF(A2047-B2047=0,"OK","Error?"))</f>
        <v>Error?</v>
      </c>
    </row>
    <row r="2048" spans="1:4" x14ac:dyDescent="0.2">
      <c r="A2048" s="5">
        <v>1987</v>
      </c>
      <c r="B2048" s="1832">
        <f>'Cap Outlay Deprec 26'!J13</f>
        <v>133800</v>
      </c>
      <c r="D2048" s="2" t="str">
        <f t="shared" si="31"/>
        <v>Error?</v>
      </c>
    </row>
    <row r="2049" spans="1:4" x14ac:dyDescent="0.2">
      <c r="A2049" s="5">
        <v>1988</v>
      </c>
      <c r="B2049" s="1832">
        <f>'Cap Outlay Deprec 26'!J16</f>
        <v>191314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8272583</v>
      </c>
      <c r="C2051" s="2" t="s">
        <v>569</v>
      </c>
      <c r="D2051" s="2" t="str">
        <f t="shared" si="31"/>
        <v>Error?</v>
      </c>
    </row>
    <row r="2052" spans="1:4" x14ac:dyDescent="0.2">
      <c r="A2052" s="5">
        <v>1991</v>
      </c>
      <c r="B2052" s="1832">
        <f>'Cap Outlay Deprec 26'!K10</f>
        <v>2944687</v>
      </c>
      <c r="C2052" s="2" t="s">
        <v>569</v>
      </c>
      <c r="D2052" s="2" t="str">
        <f t="shared" si="31"/>
        <v>Error?</v>
      </c>
    </row>
    <row r="2053" spans="1:4" x14ac:dyDescent="0.2">
      <c r="A2053" s="5">
        <v>1992</v>
      </c>
      <c r="B2053" s="1832">
        <f>'Cap Outlay Deprec 26'!K12</f>
        <v>231374</v>
      </c>
      <c r="C2053" s="2" t="s">
        <v>569</v>
      </c>
      <c r="D2053" s="2" t="str">
        <f t="shared" si="31"/>
        <v>Error?</v>
      </c>
    </row>
    <row r="2054" spans="1:4" x14ac:dyDescent="0.2">
      <c r="A2054" s="5">
        <v>1993</v>
      </c>
      <c r="B2054" s="1832">
        <f>'Cap Outlay Deprec 26'!K13</f>
        <v>1742806</v>
      </c>
      <c r="C2054" s="2" t="s">
        <v>569</v>
      </c>
      <c r="D2054" s="2" t="str">
        <f t="shared" si="31"/>
        <v>Error?</v>
      </c>
    </row>
    <row r="2055" spans="1:4" x14ac:dyDescent="0.2">
      <c r="A2055" s="5">
        <v>1994</v>
      </c>
      <c r="B2055" s="1832">
        <f>'Cap Outlay Deprec 26'!K16</f>
        <v>13217591</v>
      </c>
      <c r="C2055" s="2" t="s">
        <v>569</v>
      </c>
      <c r="D2055" s="2" t="str">
        <f t="shared" si="31"/>
        <v>Error?</v>
      </c>
    </row>
    <row r="2056" spans="1:4" x14ac:dyDescent="0.2">
      <c r="A2056" s="5">
        <v>1995</v>
      </c>
      <c r="B2056" s="1832">
        <f>'Cap Outlay Deprec 26'!L5</f>
        <v>665342</v>
      </c>
      <c r="C2056" s="2" t="s">
        <v>569</v>
      </c>
      <c r="D2056" s="2" t="str">
        <f t="shared" si="31"/>
        <v>Error?</v>
      </c>
    </row>
    <row r="2057" spans="1:4" x14ac:dyDescent="0.2">
      <c r="A2057" s="5">
        <v>1996</v>
      </c>
      <c r="B2057" s="1832">
        <f>'Cap Outlay Deprec 26'!L8</f>
        <v>15640096</v>
      </c>
      <c r="C2057" s="2" t="s">
        <v>569</v>
      </c>
      <c r="D2057" s="2" t="str">
        <f t="shared" si="31"/>
        <v>Error?</v>
      </c>
    </row>
    <row r="2058" spans="1:4" x14ac:dyDescent="0.2">
      <c r="A2058" s="5">
        <v>1997</v>
      </c>
      <c r="B2058" s="1832">
        <f>'Cap Outlay Deprec 26'!L10</f>
        <v>2867881</v>
      </c>
      <c r="C2058" s="2" t="s">
        <v>569</v>
      </c>
      <c r="D2058" s="2" t="str">
        <f t="shared" si="31"/>
        <v>Error?</v>
      </c>
    </row>
    <row r="2059" spans="1:4" x14ac:dyDescent="0.2">
      <c r="A2059" s="5">
        <v>1998</v>
      </c>
      <c r="B2059" s="1832">
        <f>'Cap Outlay Deprec 26'!L12</f>
        <v>164062</v>
      </c>
      <c r="C2059" s="2" t="s">
        <v>569</v>
      </c>
      <c r="D2059" s="2" t="str">
        <f t="shared" si="31"/>
        <v>Error?</v>
      </c>
    </row>
    <row r="2060" spans="1:4" x14ac:dyDescent="0.2">
      <c r="A2060" s="5">
        <v>1999</v>
      </c>
      <c r="B2060" s="1832">
        <f>'Cap Outlay Deprec 26'!L13</f>
        <v>399494</v>
      </c>
      <c r="C2060" s="2" t="s">
        <v>569</v>
      </c>
      <c r="D2060" s="2" t="str">
        <f t="shared" si="31"/>
        <v>Error?</v>
      </c>
    </row>
    <row r="2061" spans="1:4" x14ac:dyDescent="0.2">
      <c r="A2061" s="5">
        <v>2000</v>
      </c>
      <c r="B2061" s="1832">
        <f>'Cap Outlay Deprec 26'!L16</f>
        <v>19816601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71339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110032</v>
      </c>
      <c r="C2088" s="2" t="s">
        <v>569</v>
      </c>
      <c r="D2088" s="2" t="str">
        <f t="shared" si="31"/>
        <v>Error?</v>
      </c>
    </row>
    <row r="2089" spans="1:4" x14ac:dyDescent="0.2">
      <c r="A2089" s="5">
        <v>2028</v>
      </c>
      <c r="B2089" s="1832">
        <f>'Expenditures 15-22'!K92</f>
        <v>47710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1675000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133949</v>
      </c>
      <c r="D2435" s="2" t="str">
        <f t="shared" si="37"/>
        <v>Error?</v>
      </c>
    </row>
    <row r="2436" spans="1:4" x14ac:dyDescent="0.2">
      <c r="A2436" s="10">
        <v>2375</v>
      </c>
      <c r="B2436" s="1832"/>
      <c r="D2436" s="2" t="str">
        <f t="shared" si="37"/>
        <v>OK</v>
      </c>
    </row>
    <row r="2437" spans="1:4" x14ac:dyDescent="0.2">
      <c r="A2437" s="5">
        <v>2376</v>
      </c>
      <c r="B2437" s="1832">
        <f>'Assets-Liab 5-6'!D38</f>
        <v>146338</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158189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150319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4012215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1853306</v>
      </c>
      <c r="C2553" s="2" t="s">
        <v>569</v>
      </c>
      <c r="D2553" s="2" t="str">
        <f t="shared" si="38"/>
        <v>Error?</v>
      </c>
    </row>
    <row r="2554" spans="1:4" x14ac:dyDescent="0.2">
      <c r="A2554" s="5">
        <v>2493</v>
      </c>
      <c r="B2554" s="1832">
        <f>'Acct Summary 7-8'!C7</f>
        <v>496648</v>
      </c>
      <c r="C2554" s="2" t="s">
        <v>569</v>
      </c>
      <c r="D2554" s="2" t="str">
        <f t="shared" si="38"/>
        <v>Error?</v>
      </c>
    </row>
    <row r="2555" spans="1:4" x14ac:dyDescent="0.2">
      <c r="A2555" s="5">
        <v>2494</v>
      </c>
      <c r="B2555" s="1832">
        <f>'Acct Summary 7-8'!C8</f>
        <v>6362169</v>
      </c>
      <c r="C2555" s="2" t="s">
        <v>569</v>
      </c>
      <c r="D2555" s="2" t="str">
        <f t="shared" si="38"/>
        <v>Error?</v>
      </c>
    </row>
    <row r="2556" spans="1:4" x14ac:dyDescent="0.2">
      <c r="A2556" s="5">
        <v>2495</v>
      </c>
      <c r="B2556" s="1832">
        <f>'Acct Summary 7-8'!C12</f>
        <v>4265196</v>
      </c>
      <c r="C2556" s="2" t="s">
        <v>569</v>
      </c>
      <c r="D2556" s="2" t="str">
        <f t="shared" si="38"/>
        <v>Error?</v>
      </c>
    </row>
    <row r="2557" spans="1:4" x14ac:dyDescent="0.2">
      <c r="A2557" s="5">
        <v>2496</v>
      </c>
      <c r="B2557" s="1832">
        <f>'Acct Summary 7-8'!C13</f>
        <v>1655806</v>
      </c>
      <c r="C2557" s="2" t="s">
        <v>569</v>
      </c>
      <c r="D2557" s="2" t="str">
        <f t="shared" si="38"/>
        <v>Error?</v>
      </c>
    </row>
    <row r="2558" spans="1:4" x14ac:dyDescent="0.2">
      <c r="A2558" s="5">
        <v>2497</v>
      </c>
      <c r="B2558" s="1832">
        <f>'Acct Summary 7-8'!C14</f>
        <v>5808</v>
      </c>
      <c r="C2558" s="2" t="s">
        <v>569</v>
      </c>
      <c r="D2558" s="2" t="str">
        <f t="shared" si="38"/>
        <v>Error?</v>
      </c>
    </row>
    <row r="2559" spans="1:4" x14ac:dyDescent="0.2">
      <c r="A2559" s="5">
        <v>2498</v>
      </c>
      <c r="B2559" s="1832">
        <f>'Acct Summary 7-8'!C15</f>
        <v>157742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6084552</v>
      </c>
      <c r="C2561" s="2" t="s">
        <v>569</v>
      </c>
      <c r="D2561" s="2" t="str">
        <f t="shared" si="39"/>
        <v>Error?</v>
      </c>
    </row>
    <row r="2562" spans="1:4" x14ac:dyDescent="0.2">
      <c r="A2562" s="5">
        <v>2501</v>
      </c>
      <c r="B2562" s="1832">
        <f>'Acct Summary 7-8'!C20</f>
        <v>277617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948968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948968</v>
      </c>
      <c r="C2568" s="2" t="s">
        <v>569</v>
      </c>
      <c r="D2568" s="2" t="str">
        <f t="shared" si="39"/>
        <v>Error?</v>
      </c>
    </row>
    <row r="2569" spans="1:4" x14ac:dyDescent="0.2">
      <c r="A2569" s="5">
        <v>2508</v>
      </c>
      <c r="B2569" s="1832">
        <f>'Acct Summary 7-8'!D13</f>
        <v>683552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683552</v>
      </c>
      <c r="C2573" s="2" t="s">
        <v>569</v>
      </c>
      <c r="D2573" s="2" t="str">
        <f t="shared" si="39"/>
        <v>Error?</v>
      </c>
    </row>
    <row r="2574" spans="1:4" x14ac:dyDescent="0.2">
      <c r="A2574" s="5">
        <v>2513</v>
      </c>
      <c r="B2574" s="1832">
        <f>'Acct Summary 7-8'!D20</f>
        <v>265416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691431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218324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909755</v>
      </c>
      <c r="C2595" s="2" t="s">
        <v>569</v>
      </c>
      <c r="D2595" s="2" t="str">
        <f t="shared" si="39"/>
        <v>Error?</v>
      </c>
    </row>
    <row r="2596" spans="1:4" x14ac:dyDescent="0.2">
      <c r="A2596" s="5">
        <v>2535</v>
      </c>
      <c r="B2596" s="1832">
        <f>'Acct Summary 7-8'!F13</f>
        <v>932506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932506</v>
      </c>
      <c r="C2600" s="2" t="s">
        <v>569</v>
      </c>
      <c r="D2600" s="2" t="str">
        <f t="shared" si="39"/>
        <v>Error?</v>
      </c>
    </row>
    <row r="2601" spans="1:4" x14ac:dyDescent="0.2">
      <c r="A2601" s="5">
        <v>2540</v>
      </c>
      <c r="B2601" s="1832">
        <f>'Acct Summary 7-8'!F20</f>
        <v>-22751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286388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286388</v>
      </c>
      <c r="C2606" s="2" t="s">
        <v>569</v>
      </c>
      <c r="D2606" s="2" t="str">
        <f t="shared" si="39"/>
        <v>Error?</v>
      </c>
    </row>
    <row r="2607" spans="1:4" x14ac:dyDescent="0.2">
      <c r="A2607" s="5">
        <v>2546</v>
      </c>
      <c r="B2607" s="1832">
        <f>'Acct Summary 7-8'!G12</f>
        <v>76791</v>
      </c>
      <c r="C2607" s="2" t="s">
        <v>569</v>
      </c>
      <c r="D2607" s="2" t="str">
        <f t="shared" si="39"/>
        <v>Error?</v>
      </c>
    </row>
    <row r="2608" spans="1:4" x14ac:dyDescent="0.2">
      <c r="A2608" s="5">
        <v>2547</v>
      </c>
      <c r="B2608" s="1832">
        <f>'Acct Summary 7-8'!G13</f>
        <v>203763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280554</v>
      </c>
      <c r="C2612" s="2" t="s">
        <v>569</v>
      </c>
      <c r="D2612" s="2" t="str">
        <f t="shared" si="39"/>
        <v>Error?</v>
      </c>
    </row>
    <row r="2613" spans="1:4" x14ac:dyDescent="0.2">
      <c r="A2613" s="5">
        <v>2552</v>
      </c>
      <c r="B2613" s="1832">
        <f>'Acct Summary 7-8'!G20</f>
        <v>5834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769954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769954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1018490</v>
      </c>
      <c r="C2634" s="2" t="s">
        <v>569</v>
      </c>
      <c r="D2634" s="2" t="str">
        <f t="shared" si="40"/>
        <v>Error?</v>
      </c>
    </row>
    <row r="2635" spans="1:4" x14ac:dyDescent="0.2">
      <c r="A2635" s="5">
        <v>2574</v>
      </c>
      <c r="B2635" s="1832">
        <f>'Acct Summary 7-8'!E17</f>
        <v>1018490</v>
      </c>
      <c r="C2635" s="2" t="s">
        <v>569</v>
      </c>
      <c r="D2635" s="2" t="str">
        <f t="shared" si="40"/>
        <v>Error?</v>
      </c>
    </row>
    <row r="2636" spans="1:4" x14ac:dyDescent="0.2">
      <c r="A2636" s="5">
        <v>2575</v>
      </c>
      <c r="B2636" s="1832">
        <f>'Acct Summary 7-8'!E20</f>
        <v>-248536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24984</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74984</v>
      </c>
      <c r="C2658" s="2" t="s">
        <v>569</v>
      </c>
      <c r="D2658" s="2" t="str">
        <f t="shared" si="40"/>
        <v>Error?</v>
      </c>
    </row>
    <row r="2659" spans="1:4" x14ac:dyDescent="0.2">
      <c r="A2659" s="5">
        <v>2598</v>
      </c>
      <c r="B2659" s="1832">
        <f>'Acct Summary 7-8'!H13</f>
        <v>713484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713484</v>
      </c>
      <c r="C2661" s="2" t="s">
        <v>569</v>
      </c>
      <c r="D2661" s="2" t="str">
        <f t="shared" si="40"/>
        <v>Error?</v>
      </c>
    </row>
    <row r="2662" spans="1:4" x14ac:dyDescent="0.2">
      <c r="A2662" s="5">
        <v>2601</v>
      </c>
      <c r="B2662" s="1832">
        <f>'Acct Summary 7-8'!H20</f>
        <v>-638500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4000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4000</v>
      </c>
      <c r="C2724" s="2" t="s">
        <v>569</v>
      </c>
      <c r="D2724" s="2" t="str">
        <f t="shared" si="41"/>
        <v>Error?</v>
      </c>
    </row>
    <row r="2725" spans="1:4" x14ac:dyDescent="0.2">
      <c r="A2725" s="5">
        <v>2664</v>
      </c>
      <c r="B2725" s="1832">
        <f>'Expenditures 15-22'!D247</f>
        <v>693</v>
      </c>
      <c r="D2725" s="2" t="str">
        <f t="shared" si="41"/>
        <v>Error?</v>
      </c>
    </row>
    <row r="2726" spans="1:4" x14ac:dyDescent="0.2">
      <c r="A2726" s="5">
        <v>2665</v>
      </c>
      <c r="B2726" s="1832">
        <f>'Expenditures 15-22'!K247</f>
        <v>693</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38693</v>
      </c>
      <c r="C2789" s="2" t="s">
        <v>569</v>
      </c>
      <c r="D2789" s="2" t="str">
        <f t="shared" si="42"/>
        <v>Error?</v>
      </c>
    </row>
    <row r="2790" spans="1:4" x14ac:dyDescent="0.2">
      <c r="A2790" s="5">
        <v>2729</v>
      </c>
      <c r="B2790" s="1832">
        <f>'Expenditures 15-22'!E102</f>
        <v>38693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1507644</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2952241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697615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967273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2952241</v>
      </c>
      <c r="D2912" s="2" t="str">
        <f t="shared" si="44"/>
        <v>Error?</v>
      </c>
    </row>
    <row r="2913" spans="1:4" x14ac:dyDescent="0.2">
      <c r="A2913" s="5">
        <v>2852</v>
      </c>
      <c r="B2913" s="1832">
        <f>'Assets-Liab 5-6'!I41</f>
        <v>2952241</v>
      </c>
      <c r="C2913" s="2" t="s">
        <v>569</v>
      </c>
      <c r="D2913" s="2" t="str">
        <f t="shared" si="44"/>
        <v>Error?</v>
      </c>
    </row>
    <row r="2914" spans="1:4" x14ac:dyDescent="0.2">
      <c r="A2914" s="5">
        <v>2853</v>
      </c>
      <c r="B2914" s="1832">
        <f>'Assets-Liab 5-6'!L33</f>
        <v>602339</v>
      </c>
      <c r="D2914" s="2" t="str">
        <f t="shared" si="44"/>
        <v>Error?</v>
      </c>
    </row>
    <row r="2915" spans="1:4" x14ac:dyDescent="0.2">
      <c r="A2915" s="10">
        <v>2854</v>
      </c>
      <c r="B2915" s="1832"/>
      <c r="D2915" s="2" t="str">
        <f t="shared" si="44"/>
        <v>OK</v>
      </c>
    </row>
    <row r="2916" spans="1:4" x14ac:dyDescent="0.2">
      <c r="A2916" s="5">
        <v>2855</v>
      </c>
      <c r="B2916" s="1832">
        <f>'Assets-Liab 5-6'!L34</f>
        <v>602339</v>
      </c>
      <c r="C2916" s="2" t="s">
        <v>569</v>
      </c>
      <c r="D2916" s="2" t="str">
        <f t="shared" si="44"/>
        <v>Error?</v>
      </c>
    </row>
    <row r="2917" spans="1:4" x14ac:dyDescent="0.2">
      <c r="A2917" s="5">
        <v>2856</v>
      </c>
      <c r="B2917" s="1832">
        <f>'Assets-Liab 5-6'!L41</f>
        <v>967273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38693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26899</v>
      </c>
      <c r="D2955" s="2" t="str">
        <f t="shared" si="45"/>
        <v>Error?</v>
      </c>
    </row>
    <row r="2956" spans="1:4" x14ac:dyDescent="0.2">
      <c r="A2956" s="5">
        <v>2895</v>
      </c>
      <c r="B2956" s="1832">
        <f>'Expenditures 15-22'!H79</f>
        <v>42494</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1946</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26899</v>
      </c>
      <c r="C2973" s="2" t="s">
        <v>569</v>
      </c>
      <c r="D2973" s="2" t="str">
        <f t="shared" si="45"/>
        <v>Error?</v>
      </c>
    </row>
    <row r="2974" spans="1:4" x14ac:dyDescent="0.2">
      <c r="A2974" s="5">
        <v>2913</v>
      </c>
      <c r="B2974" s="1832">
        <f>'Expenditures 15-22'!K79</f>
        <v>81187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1946</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31099</v>
      </c>
      <c r="D3055" s="2" t="str">
        <f t="shared" si="46"/>
        <v>Error?</v>
      </c>
    </row>
    <row r="3056" spans="1:4" x14ac:dyDescent="0.2">
      <c r="A3056" s="5">
        <v>2995</v>
      </c>
      <c r="B3056" s="1832">
        <f>'Expenditures 15-22'!D10</f>
        <v>175</v>
      </c>
      <c r="D3056" s="2" t="str">
        <f t="shared" si="46"/>
        <v>Error?</v>
      </c>
    </row>
    <row r="3057" spans="1:4" x14ac:dyDescent="0.2">
      <c r="A3057" s="5">
        <v>2996</v>
      </c>
      <c r="B3057" s="1832">
        <f>'Expenditures 15-22'!E10</f>
        <v>36247</v>
      </c>
      <c r="D3057" s="2" t="str">
        <f t="shared" si="46"/>
        <v>Error?</v>
      </c>
    </row>
    <row r="3058" spans="1:4" x14ac:dyDescent="0.2">
      <c r="A3058" s="5">
        <v>2997</v>
      </c>
      <c r="B3058" s="1832">
        <f>'Expenditures 15-22'!F10</f>
        <v>11480</v>
      </c>
      <c r="D3058" s="2" t="str">
        <f t="shared" si="46"/>
        <v>Error?</v>
      </c>
    </row>
    <row r="3059" spans="1:4" x14ac:dyDescent="0.2">
      <c r="A3059" s="5">
        <v>2998</v>
      </c>
      <c r="B3059" s="1832">
        <f>'Expenditures 15-22'!G10</f>
        <v>7205</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86206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3464</v>
      </c>
      <c r="D3064" s="2" t="str">
        <f t="shared" si="46"/>
        <v>Error?</v>
      </c>
    </row>
    <row r="3065" spans="1:4" x14ac:dyDescent="0.2">
      <c r="A3065" s="5">
        <v>3004</v>
      </c>
      <c r="B3065" s="1832">
        <f>'Expenditures 15-22'!K219</f>
        <v>3464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364934</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171782</v>
      </c>
      <c r="C3225" s="2" t="s">
        <v>569</v>
      </c>
      <c r="D3225" s="2" t="str">
        <f t="shared" si="49"/>
        <v>Error?</v>
      </c>
    </row>
    <row r="3226" spans="1:4" x14ac:dyDescent="0.2">
      <c r="A3226" s="5">
        <v>3165</v>
      </c>
      <c r="B3226" s="1832">
        <f>'Acct Summary 7-8'!I8</f>
        <v>171782</v>
      </c>
      <c r="C3226" s="2" t="s">
        <v>569</v>
      </c>
      <c r="D3226" s="2" t="str">
        <f t="shared" si="49"/>
        <v>Error?</v>
      </c>
    </row>
    <row r="3227" spans="1:4" x14ac:dyDescent="0.2">
      <c r="A3227" s="5">
        <v>3166</v>
      </c>
      <c r="B3227" s="1832">
        <f>'Acct Summary 7-8'!I20</f>
        <v>171782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277617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725000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827725</v>
      </c>
      <c r="C3237" s="2" t="s">
        <v>569</v>
      </c>
      <c r="D3237" s="2" t="str">
        <f t="shared" si="49"/>
        <v>Error?</v>
      </c>
    </row>
    <row r="3238" spans="1:4" x14ac:dyDescent="0.2">
      <c r="A3238" s="5">
        <v>3177</v>
      </c>
      <c r="B3238" s="1832">
        <f>'Acct Summary 7-8'!D77</f>
        <v>-102725</v>
      </c>
      <c r="C3238" s="2" t="s">
        <v>569</v>
      </c>
      <c r="D3238" s="2" t="str">
        <f t="shared" si="49"/>
        <v>Error?</v>
      </c>
    </row>
    <row r="3239" spans="1:4" x14ac:dyDescent="0.2">
      <c r="A3239" s="5">
        <v>3178</v>
      </c>
      <c r="B3239" s="1832">
        <f>'Acct Summary 7-8'!D78</f>
        <v>162691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23141</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23141</v>
      </c>
      <c r="C3255" s="2" t="s">
        <v>569</v>
      </c>
      <c r="D3255" s="2" t="str">
        <f t="shared" si="49"/>
        <v>Error?</v>
      </c>
    </row>
    <row r="3256" spans="1:4" x14ac:dyDescent="0.2">
      <c r="A3256" s="5">
        <v>3195</v>
      </c>
      <c r="B3256" s="1832">
        <f>'Acct Summary 7-8'!F78</f>
        <v>390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5834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261322</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261322</v>
      </c>
      <c r="C3277" s="2" t="s">
        <v>569</v>
      </c>
      <c r="D3277" s="2" t="str">
        <f t="shared" si="50"/>
        <v>Error?</v>
      </c>
    </row>
    <row r="3278" spans="1:4" x14ac:dyDescent="0.2">
      <c r="A3278" s="5">
        <v>3217</v>
      </c>
      <c r="B3278" s="1832">
        <f>'Acct Summary 7-8'!E78</f>
        <v>12786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1530000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1530000</v>
      </c>
      <c r="C3299" s="2" t="s">
        <v>569</v>
      </c>
      <c r="D3299" s="2" t="str">
        <f t="shared" si="50"/>
        <v>Error?</v>
      </c>
    </row>
    <row r="3300" spans="1:4" x14ac:dyDescent="0.2">
      <c r="A3300" s="5">
        <v>3239</v>
      </c>
      <c r="B3300" s="1832">
        <f>'Acct Summary 7-8'!H78</f>
        <v>891500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1500000</v>
      </c>
      <c r="C3317" s="2" t="s">
        <v>569</v>
      </c>
      <c r="D3317" s="2" t="str">
        <f t="shared" si="50"/>
        <v>Error?</v>
      </c>
    </row>
    <row r="3318" spans="1:4" x14ac:dyDescent="0.2">
      <c r="A3318" s="5">
        <v>3257</v>
      </c>
      <c r="B3318" s="1832">
        <f>'Acct Summary 7-8'!I76</f>
        <v>1675000</v>
      </c>
      <c r="C3318" s="2" t="s">
        <v>569</v>
      </c>
      <c r="D3318" s="2" t="str">
        <f t="shared" si="50"/>
        <v>Error?</v>
      </c>
    </row>
    <row r="3319" spans="1:4" x14ac:dyDescent="0.2">
      <c r="A3319" s="5">
        <v>3258</v>
      </c>
      <c r="B3319" s="1832">
        <f>'Acct Summary 7-8'!I77</f>
        <v>-175000</v>
      </c>
      <c r="C3319" s="2" t="s">
        <v>569</v>
      </c>
      <c r="D3319" s="2" t="str">
        <f t="shared" si="50"/>
        <v>Error?</v>
      </c>
    </row>
    <row r="3320" spans="1:4" x14ac:dyDescent="0.2">
      <c r="A3320" s="5">
        <v>3259</v>
      </c>
      <c r="B3320" s="1832">
        <f>'Acct Summary 7-8'!I78</f>
        <v>-3218</v>
      </c>
      <c r="C3320" s="2" t="s">
        <v>569</v>
      </c>
      <c r="D3320" s="2" t="str">
        <f t="shared" si="50"/>
        <v>Error?</v>
      </c>
    </row>
    <row r="3321" spans="1:4" x14ac:dyDescent="0.2">
      <c r="A3321" s="5">
        <v>3260</v>
      </c>
      <c r="B3321" s="1832">
        <f>'Acct Summary 7-8'!I79</f>
        <v>2955459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2952241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574617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61334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2595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971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639517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33883</v>
      </c>
      <c r="D3387" s="2" t="str">
        <f t="shared" si="51"/>
        <v>Error?</v>
      </c>
    </row>
    <row r="3388" spans="1:4" x14ac:dyDescent="0.2">
      <c r="A3388" s="5">
        <v>3327</v>
      </c>
      <c r="B3388" s="1832">
        <f>'Expenditures 15-22'!D217</f>
        <v>22696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33883</v>
      </c>
      <c r="C3390" s="2" t="s">
        <v>569</v>
      </c>
      <c r="D3390" s="2" t="str">
        <f t="shared" si="51"/>
        <v>Error?</v>
      </c>
    </row>
    <row r="3391" spans="1:4" x14ac:dyDescent="0.2">
      <c r="A3391" s="5">
        <v>3330</v>
      </c>
      <c r="B3391" s="1832">
        <f>'Expenditures 15-22'!K217</f>
        <v>22696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490234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984227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114780</v>
      </c>
      <c r="D3417" s="2" t="str">
        <f t="shared" si="52"/>
        <v>Error?</v>
      </c>
    </row>
    <row r="3418" spans="1:4" x14ac:dyDescent="0.2">
      <c r="A3418" s="10">
        <v>3357</v>
      </c>
      <c r="B3418" s="1832"/>
      <c r="D3418" s="2" t="str">
        <f t="shared" si="52"/>
        <v>OK</v>
      </c>
    </row>
    <row r="3419" spans="1:4" x14ac:dyDescent="0.2">
      <c r="A3419" s="5">
        <v>3358</v>
      </c>
      <c r="B3419" s="1832">
        <f>'Assets-Liab 5-6'!F4</f>
        <v>345849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192594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1087355</v>
      </c>
      <c r="D3425" s="2" t="str">
        <f t="shared" si="52"/>
        <v>Error?</v>
      </c>
    </row>
    <row r="3426" spans="1:4" x14ac:dyDescent="0.2">
      <c r="A3426" s="10">
        <v>3365</v>
      </c>
      <c r="B3426" s="1832"/>
      <c r="D3426" s="2" t="str">
        <f t="shared" si="52"/>
        <v>OK</v>
      </c>
    </row>
    <row r="3427" spans="1:4" x14ac:dyDescent="0.2">
      <c r="A3427" s="5">
        <v>3366</v>
      </c>
      <c r="B3427" s="1832">
        <f>'Assets-Liab 5-6'!I4</f>
        <v>1444597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269658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105402</v>
      </c>
      <c r="C3446" s="2" t="s">
        <v>569</v>
      </c>
      <c r="D3446" s="2" t="str">
        <f t="shared" si="52"/>
        <v>Error?</v>
      </c>
    </row>
    <row r="3447" spans="1:4" x14ac:dyDescent="0.2">
      <c r="A3447" s="5">
        <v>3386</v>
      </c>
      <c r="B3447" s="1832">
        <f>'Tax Sched 23'!D16</f>
        <v>105402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95011</v>
      </c>
      <c r="C3449" s="2" t="s">
        <v>569</v>
      </c>
      <c r="D3449" s="2" t="str">
        <f t="shared" si="52"/>
        <v>Error?</v>
      </c>
    </row>
    <row r="3450" spans="1:4" x14ac:dyDescent="0.2">
      <c r="A3450" s="5">
        <v>3389</v>
      </c>
      <c r="B3450" s="1832">
        <f>'Tax Sched 23'!E16</f>
        <v>95011</v>
      </c>
      <c r="D3450" s="2" t="str">
        <f t="shared" si="52"/>
        <v>Error?</v>
      </c>
    </row>
    <row r="3451" spans="1:4" x14ac:dyDescent="0.2">
      <c r="A3451" s="5">
        <v>3390</v>
      </c>
      <c r="B3451" s="1832">
        <f>'Cap Outlay Deprec 26'!C15</f>
        <v>421070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421070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3141</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127538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152686</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280224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280224</v>
      </c>
      <c r="D3567" s="2" t="str">
        <f t="shared" si="54"/>
        <v>Error?</v>
      </c>
    </row>
    <row r="3568" spans="1:4" x14ac:dyDescent="0.2">
      <c r="A3568" s="5">
        <v>3507</v>
      </c>
      <c r="B3568" s="1832">
        <f>'Assets-Liab 5-6'!K41</f>
        <v>280224</v>
      </c>
      <c r="C3568" s="2" t="s">
        <v>569</v>
      </c>
      <c r="D3568" s="2" t="str">
        <f t="shared" si="54"/>
        <v>Error?</v>
      </c>
    </row>
    <row r="3569" spans="1:4" x14ac:dyDescent="0.2">
      <c r="A3569" s="5">
        <v>3508</v>
      </c>
      <c r="B3569" s="1832">
        <f>'Acct Summary 7-8'!K4</f>
        <v>28381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28381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28381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28381</v>
      </c>
      <c r="C3588" s="2" t="s">
        <v>569</v>
      </c>
      <c r="D3588" s="2" t="str">
        <f t="shared" si="55"/>
        <v>Error?</v>
      </c>
    </row>
    <row r="3589" spans="1:4" x14ac:dyDescent="0.2">
      <c r="A3589" s="5">
        <v>3528</v>
      </c>
      <c r="B3589" s="1832">
        <f>'Acct Summary 7-8'!K79</f>
        <v>251843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280224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28381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66666</v>
      </c>
      <c r="C3725" s="2" t="s">
        <v>569</v>
      </c>
      <c r="D3725" s="2" t="str">
        <f t="shared" si="57"/>
        <v>Error?</v>
      </c>
    </row>
    <row r="3726" spans="1:4" x14ac:dyDescent="0.2">
      <c r="A3726" s="5">
        <v>3665</v>
      </c>
      <c r="B3726" s="1832">
        <f>'Tax Sched 23'!D13</f>
        <v>66666</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69814</v>
      </c>
      <c r="C3728" s="2" t="s">
        <v>569</v>
      </c>
      <c r="D3728" s="2" t="str">
        <f t="shared" si="57"/>
        <v>Error?</v>
      </c>
    </row>
    <row r="3729" spans="1:4" x14ac:dyDescent="0.2">
      <c r="A3729" s="5">
        <v>3668</v>
      </c>
      <c r="B3729" s="1832">
        <f>'Tax Sched 23'!E13</f>
        <v>69814</v>
      </c>
      <c r="D3729" s="2" t="str">
        <f t="shared" si="57"/>
        <v>Error?</v>
      </c>
    </row>
    <row r="3730" spans="1:4" x14ac:dyDescent="0.2">
      <c r="A3730" s="5">
        <v>3669</v>
      </c>
      <c r="B3730" s="1832">
        <f>'ICR Computation 30'!E10</f>
        <v>167793.24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3144313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9506482</v>
      </c>
      <c r="C4122" s="2" t="s">
        <v>569</v>
      </c>
      <c r="D4122" s="2" t="str">
        <f t="shared" si="63"/>
        <v>Error?</v>
      </c>
    </row>
    <row r="4123" spans="1:4" x14ac:dyDescent="0.2">
      <c r="A4123" s="5">
        <v>4062</v>
      </c>
      <c r="B4123" s="1832">
        <f>'Acct Summary 7-8'!D10</f>
        <v>948968</v>
      </c>
      <c r="C4123" s="2" t="s">
        <v>569</v>
      </c>
      <c r="D4123" s="2" t="str">
        <f t="shared" si="63"/>
        <v>Error?</v>
      </c>
    </row>
    <row r="4124" spans="1:4" x14ac:dyDescent="0.2">
      <c r="A4124" s="5">
        <v>4063</v>
      </c>
      <c r="B4124" s="1832">
        <f>'Acct Summary 7-8'!E10</f>
        <v>769954</v>
      </c>
      <c r="C4124" s="2" t="s">
        <v>569</v>
      </c>
      <c r="D4124" s="2" t="str">
        <f t="shared" si="63"/>
        <v>Error?</v>
      </c>
    </row>
    <row r="4125" spans="1:4" x14ac:dyDescent="0.2">
      <c r="A4125" s="5">
        <v>4064</v>
      </c>
      <c r="B4125" s="1832">
        <f>'Acct Summary 7-8'!F10</f>
        <v>909755</v>
      </c>
      <c r="C4125" s="2" t="s">
        <v>569</v>
      </c>
      <c r="D4125" s="2" t="str">
        <f t="shared" si="63"/>
        <v>Error?</v>
      </c>
    </row>
    <row r="4126" spans="1:4" x14ac:dyDescent="0.2">
      <c r="A4126" s="5">
        <v>4065</v>
      </c>
      <c r="B4126" s="1832">
        <f>'Acct Summary 7-8'!G10</f>
        <v>286388</v>
      </c>
      <c r="C4126" s="2" t="s">
        <v>569</v>
      </c>
      <c r="D4126" s="2" t="str">
        <f t="shared" si="63"/>
        <v>Error?</v>
      </c>
    </row>
    <row r="4127" spans="1:4" x14ac:dyDescent="0.2">
      <c r="A4127" s="5">
        <v>4066</v>
      </c>
      <c r="B4127" s="1832">
        <f>'Acct Summary 7-8'!H10</f>
        <v>74984</v>
      </c>
      <c r="C4127" s="2" t="s">
        <v>569</v>
      </c>
      <c r="D4127" s="2" t="str">
        <f t="shared" si="63"/>
        <v>Error?</v>
      </c>
    </row>
    <row r="4128" spans="1:4" x14ac:dyDescent="0.2">
      <c r="A4128" s="5">
        <v>4067</v>
      </c>
      <c r="B4128" s="1832">
        <f>'Acct Summary 7-8'!I10</f>
        <v>171782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28381</v>
      </c>
      <c r="C4130" s="2" t="s">
        <v>569</v>
      </c>
      <c r="D4130" s="2" t="str">
        <f t="shared" si="63"/>
        <v>Error?</v>
      </c>
    </row>
    <row r="4131" spans="1:4" x14ac:dyDescent="0.2">
      <c r="A4131" s="5">
        <v>4070</v>
      </c>
      <c r="B4131" s="1832">
        <f>'Acct Summary 7-8'!C18</f>
        <v>3144313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9228865</v>
      </c>
      <c r="C4136" s="2" t="s">
        <v>569</v>
      </c>
      <c r="D4136" s="2" t="str">
        <f t="shared" si="63"/>
        <v>Error?</v>
      </c>
    </row>
    <row r="4137" spans="1:4" x14ac:dyDescent="0.2">
      <c r="A4137" s="5">
        <v>4076</v>
      </c>
      <c r="B4137" s="1832">
        <f>'Acct Summary 7-8'!D19</f>
        <v>683552</v>
      </c>
      <c r="C4137" s="2" t="s">
        <v>569</v>
      </c>
      <c r="D4137" s="2" t="str">
        <f t="shared" si="63"/>
        <v>Error?</v>
      </c>
    </row>
    <row r="4138" spans="1:4" x14ac:dyDescent="0.2">
      <c r="A4138" s="5">
        <v>4077</v>
      </c>
      <c r="B4138" s="1832">
        <f>'Acct Summary 7-8'!E19</f>
        <v>1018490</v>
      </c>
      <c r="C4138" s="2" t="s">
        <v>569</v>
      </c>
      <c r="D4138" s="2" t="str">
        <f t="shared" si="63"/>
        <v>Error?</v>
      </c>
    </row>
    <row r="4139" spans="1:4" x14ac:dyDescent="0.2">
      <c r="A4139" s="5">
        <v>4078</v>
      </c>
      <c r="B4139" s="1832">
        <f>'Acct Summary 7-8'!F19</f>
        <v>932506</v>
      </c>
      <c r="C4139" s="2" t="s">
        <v>569</v>
      </c>
      <c r="D4139" s="2" t="str">
        <f t="shared" si="63"/>
        <v>Error?</v>
      </c>
    </row>
    <row r="4140" spans="1:4" x14ac:dyDescent="0.2">
      <c r="A4140" s="5">
        <v>4079</v>
      </c>
      <c r="B4140" s="1832">
        <f>'Acct Summary 7-8'!G19</f>
        <v>280554</v>
      </c>
      <c r="C4140" s="2" t="s">
        <v>569</v>
      </c>
      <c r="D4140" s="2" t="str">
        <f t="shared" si="63"/>
        <v>Error?</v>
      </c>
    </row>
    <row r="4141" spans="1:4" x14ac:dyDescent="0.2">
      <c r="A4141" s="5">
        <v>4080</v>
      </c>
      <c r="B4141" s="1832">
        <f>'Acct Summary 7-8'!H19</f>
        <v>713484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2140000</v>
      </c>
      <c r="C4171" s="2" t="s">
        <v>569</v>
      </c>
      <c r="D4171" s="2" t="str">
        <f t="shared" si="64"/>
        <v>Error?</v>
      </c>
    </row>
    <row r="4172" spans="1:4" x14ac:dyDescent="0.2">
      <c r="A4172" s="5">
        <v>4111</v>
      </c>
      <c r="B4172" s="1832">
        <f>'Short-Term Long-Term Debt 24'!J49</f>
        <v>2025220</v>
      </c>
      <c r="C4172" s="2" t="s">
        <v>569</v>
      </c>
      <c r="D4172" s="2" t="str">
        <f t="shared" si="64"/>
        <v>Error?</v>
      </c>
    </row>
    <row r="4173" spans="1:4" x14ac:dyDescent="0.2">
      <c r="A4173" s="5">
        <v>4112</v>
      </c>
      <c r="B4173" s="1832">
        <f>'Short-Term Long-Term Debt 24'!H49</f>
        <v>955000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1370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1739.9999999999998</v>
      </c>
      <c r="C4268" s="2" t="s">
        <v>569</v>
      </c>
      <c r="D4268" s="2" t="str">
        <f t="shared" si="65"/>
        <v>Error?</v>
      </c>
    </row>
    <row r="4269" spans="1:5" x14ac:dyDescent="0.2">
      <c r="A4269" s="12">
        <v>4208</v>
      </c>
      <c r="B4269" s="1832">
        <f>'FP Info 3'!J16</f>
        <v>7207999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11027</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8277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5540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10126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37833</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228447469</v>
      </c>
      <c r="D4995" s="2" t="str">
        <f t="shared" si="77"/>
        <v>Error?</v>
      </c>
    </row>
    <row r="4996" spans="1:4" x14ac:dyDescent="0.2">
      <c r="A4996" s="12">
        <v>4935</v>
      </c>
      <c r="B4996" s="1832">
        <f>'FP Info 3'!H31</f>
        <v>15762875.361000001</v>
      </c>
      <c r="D4996" s="2" t="str">
        <f t="shared" si="77"/>
        <v>Error?</v>
      </c>
    </row>
    <row r="4997" spans="1:4" x14ac:dyDescent="0.2">
      <c r="A4997" s="12">
        <v>4936</v>
      </c>
      <c r="B4997" s="1832">
        <f>'FP Info 3'!H37</f>
        <v>2140000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66666</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2973048</v>
      </c>
      <c r="D5061" s="2" t="str">
        <f t="shared" si="78"/>
        <v>Error?</v>
      </c>
    </row>
    <row r="5062" spans="1:4" x14ac:dyDescent="0.2">
      <c r="A5062" s="10">
        <v>5001</v>
      </c>
      <c r="B5062" s="1832"/>
      <c r="D5062" s="2" t="str">
        <f t="shared" si="78"/>
        <v>OK</v>
      </c>
    </row>
    <row r="5063" spans="1:4" x14ac:dyDescent="0.2">
      <c r="A5063" s="5">
        <v>5002</v>
      </c>
      <c r="B5063" s="1832">
        <f>'Revenues 9-14'!C7</f>
        <v>43403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3083117</v>
      </c>
      <c r="C5066" s="2" t="s">
        <v>569</v>
      </c>
      <c r="D5066" s="2" t="str">
        <f t="shared" si="78"/>
        <v>Error?</v>
      </c>
    </row>
    <row r="5067" spans="1:4" x14ac:dyDescent="0.2">
      <c r="A5067" s="5">
        <v>5006</v>
      </c>
      <c r="B5067" s="1832">
        <f>'Revenues 9-14'!C14</f>
        <v>1471</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516394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517865</v>
      </c>
      <c r="C5071" s="2" t="s">
        <v>569</v>
      </c>
      <c r="D5071" s="2" t="str">
        <f t="shared" si="78"/>
        <v>Error?</v>
      </c>
    </row>
    <row r="5072" spans="1:4" x14ac:dyDescent="0.2">
      <c r="A5072" s="5">
        <v>5011</v>
      </c>
      <c r="B5072" s="1832">
        <f>'Revenues 9-14'!C20</f>
        <v>525</v>
      </c>
      <c r="D5072" s="2" t="str">
        <f t="shared" si="78"/>
        <v>Error?</v>
      </c>
    </row>
    <row r="5073" spans="1:4" x14ac:dyDescent="0.2">
      <c r="A5073" s="5">
        <v>5012</v>
      </c>
      <c r="B5073" s="1832">
        <f>'Revenues 9-14'!C21</f>
        <v>1100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1625</v>
      </c>
      <c r="C5087" s="2" t="s">
        <v>569</v>
      </c>
      <c r="D5087" s="2" t="str">
        <f t="shared" si="78"/>
        <v>Error?</v>
      </c>
    </row>
    <row r="5088" spans="1:4" x14ac:dyDescent="0.2">
      <c r="A5088" s="5">
        <v>5027</v>
      </c>
      <c r="B5088" s="1832">
        <f>'Revenues 9-14'!C65</f>
        <v>86435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86435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151178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3447</v>
      </c>
      <c r="D5094" s="2" t="str">
        <f t="shared" si="78"/>
        <v>Error?</v>
      </c>
    </row>
    <row r="5095" spans="1:4" x14ac:dyDescent="0.2">
      <c r="A5095" s="5">
        <v>5034</v>
      </c>
      <c r="B5095" s="1832">
        <f>'Revenues 9-14'!C74</f>
        <v>3603</v>
      </c>
      <c r="D5095" s="2" t="str">
        <f t="shared" si="78"/>
        <v>Error?</v>
      </c>
    </row>
    <row r="5096" spans="1:4" x14ac:dyDescent="0.2">
      <c r="A5096" s="5">
        <v>5035</v>
      </c>
      <c r="B5096" s="1832">
        <f>'Revenues 9-14'!C75</f>
        <v>177382</v>
      </c>
      <c r="C5096" s="2" t="s">
        <v>569</v>
      </c>
      <c r="D5096" s="2" t="str">
        <f t="shared" si="78"/>
        <v>Error?</v>
      </c>
    </row>
    <row r="5097" spans="1:4" x14ac:dyDescent="0.2">
      <c r="A5097" s="5">
        <v>5036</v>
      </c>
      <c r="B5097" s="1832">
        <f>'Revenues 9-14'!C77</f>
        <v>23231</v>
      </c>
      <c r="D5097" s="2" t="str">
        <f t="shared" si="78"/>
        <v>Error?</v>
      </c>
    </row>
    <row r="5098" spans="1:4" x14ac:dyDescent="0.2">
      <c r="A5098" s="5">
        <v>5037</v>
      </c>
      <c r="B5098" s="1832">
        <f>'Revenues 9-14'!C78</f>
        <v>3970</v>
      </c>
      <c r="D5098" s="2" t="str">
        <f t="shared" si="78"/>
        <v>Error?</v>
      </c>
    </row>
    <row r="5099" spans="1:4" x14ac:dyDescent="0.2">
      <c r="A5099" s="5">
        <v>5038</v>
      </c>
      <c r="B5099" s="1832">
        <f>'Revenues 9-14'!C79</f>
        <v>13735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19670</v>
      </c>
      <c r="D5101" s="2" t="str">
        <f t="shared" si="78"/>
        <v>Error?</v>
      </c>
    </row>
    <row r="5102" spans="1:4" x14ac:dyDescent="0.2">
      <c r="A5102" s="5">
        <v>5041</v>
      </c>
      <c r="B5102" s="1832">
        <f>'Revenues 9-14'!C82</f>
        <v>60606</v>
      </c>
      <c r="C5102" s="2" t="s">
        <v>569</v>
      </c>
      <c r="D5102" s="2" t="str">
        <f t="shared" si="78"/>
        <v>Error?</v>
      </c>
    </row>
    <row r="5103" spans="1:4" x14ac:dyDescent="0.2">
      <c r="A5103" s="5">
        <v>5042</v>
      </c>
      <c r="B5103" s="1832">
        <f>'Revenues 9-14'!C84</f>
        <v>25053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25053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6447</v>
      </c>
      <c r="D5114" s="2" t="str">
        <f t="shared" si="78"/>
        <v>Error?</v>
      </c>
    </row>
    <row r="5115" spans="1:4" x14ac:dyDescent="0.2">
      <c r="A5115" s="5">
        <v>5054</v>
      </c>
      <c r="B5115" s="1832">
        <f>'Revenues 9-14'!C98</f>
        <v>9619</v>
      </c>
      <c r="D5115" s="2" t="str">
        <f t="shared" si="78"/>
        <v>Error?</v>
      </c>
    </row>
    <row r="5116" spans="1:4" x14ac:dyDescent="0.2">
      <c r="A5116" s="5">
        <v>5055</v>
      </c>
      <c r="B5116" s="1832">
        <f>'Revenues 9-14'!C99</f>
        <v>588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40578</v>
      </c>
      <c r="D5119" s="2" t="str">
        <f t="shared" ref="D5119:D5182" si="79">IF(ISBLANK(B5119),"OK",IF(A5119-B5119=0,"OK","Error?"))</f>
        <v>Error?</v>
      </c>
    </row>
    <row r="5120" spans="1:4" x14ac:dyDescent="0.2">
      <c r="A5120" s="5">
        <v>5059</v>
      </c>
      <c r="B5120" s="1832">
        <f>'Revenues 9-14'!C108</f>
        <v>60132</v>
      </c>
      <c r="C5120" s="2" t="s">
        <v>569</v>
      </c>
      <c r="D5120" s="2" t="str">
        <f t="shared" si="79"/>
        <v>Error?</v>
      </c>
    </row>
    <row r="5121" spans="1:4" x14ac:dyDescent="0.2">
      <c r="A5121" s="5">
        <v>5060</v>
      </c>
      <c r="B5121" s="1832">
        <f>'Revenues 9-14'!C109</f>
        <v>4012215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1761505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1761505</v>
      </c>
      <c r="C5132" s="2" t="s">
        <v>569</v>
      </c>
      <c r="D5132" s="2" t="str">
        <f t="shared" si="79"/>
        <v>Error?</v>
      </c>
    </row>
    <row r="5133" spans="1:4" x14ac:dyDescent="0.2">
      <c r="A5133" s="5">
        <v>5072</v>
      </c>
      <c r="B5133" s="1832">
        <f>'Revenues 9-14'!C125</f>
        <v>57502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57502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9320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15057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1081</v>
      </c>
      <c r="D5167" s="2" t="str">
        <f t="shared" si="79"/>
        <v>Error?</v>
      </c>
    </row>
    <row r="5168" spans="1:4" x14ac:dyDescent="0.2">
      <c r="A5168" s="5">
        <v>5107</v>
      </c>
      <c r="B5168" s="1832">
        <f>'Revenues 9-14'!C148</f>
        <v>17411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91801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1853306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37833</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73926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9912</v>
      </c>
      <c r="D5241" s="2" t="str">
        <f t="shared" si="80"/>
        <v>Error?</v>
      </c>
    </row>
    <row r="5242" spans="1:4" x14ac:dyDescent="0.2">
      <c r="A5242" s="5">
        <v>5181</v>
      </c>
      <c r="B5242" s="1832">
        <f>'Revenues 9-14'!C194</f>
        <v>16805</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100643</v>
      </c>
      <c r="C5246" s="2" t="s">
        <v>569</v>
      </c>
      <c r="D5246" s="2" t="str">
        <f t="shared" si="80"/>
        <v>Error?</v>
      </c>
    </row>
    <row r="5247" spans="1:4" x14ac:dyDescent="0.2">
      <c r="A5247" s="5">
        <v>5186</v>
      </c>
      <c r="B5247" s="1832">
        <f>'Revenues 9-14'!C200</f>
        <v>136893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5540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136893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90879</v>
      </c>
      <c r="D5278" s="2" t="str">
        <f t="shared" si="81"/>
        <v>Error?</v>
      </c>
    </row>
    <row r="5279" spans="1:4" x14ac:dyDescent="0.2">
      <c r="A5279" s="5">
        <v>5218</v>
      </c>
      <c r="B5279" s="1832">
        <f>'Revenues 9-14'!C214</f>
        <v>95430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186309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11027</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458815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496648</v>
      </c>
      <c r="C5326" s="2" t="s">
        <v>569</v>
      </c>
      <c r="D5326" s="2" t="str">
        <f t="shared" si="82"/>
        <v>Error?</v>
      </c>
    </row>
    <row r="5327" spans="1:5" x14ac:dyDescent="0.2">
      <c r="A5327" s="5">
        <v>5266</v>
      </c>
      <c r="B5327" s="1832">
        <f>'Revenues 9-14'!C268</f>
        <v>6362169</v>
      </c>
      <c r="C5327" s="2" t="s">
        <v>569</v>
      </c>
      <c r="D5327" s="2" t="str">
        <f t="shared" si="82"/>
        <v>Error?</v>
      </c>
    </row>
    <row r="5328" spans="1:5" x14ac:dyDescent="0.2">
      <c r="A5328" s="5">
        <v>5267</v>
      </c>
      <c r="B5328" s="1832">
        <f>'Revenues 9-14'!D5</f>
        <v>542527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542527</v>
      </c>
      <c r="C5334" s="2" t="s">
        <v>569</v>
      </c>
      <c r="D5334" s="2" t="str">
        <f t="shared" si="82"/>
        <v>Error?</v>
      </c>
    </row>
    <row r="5335" spans="1:4" x14ac:dyDescent="0.2">
      <c r="A5335" s="5">
        <v>5274</v>
      </c>
      <c r="B5335" s="1832">
        <f>'Revenues 9-14'!D14</f>
        <v>259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259</v>
      </c>
      <c r="C5339" s="2" t="s">
        <v>569</v>
      </c>
      <c r="D5339" s="2" t="str">
        <f t="shared" si="82"/>
        <v>Error?</v>
      </c>
    </row>
    <row r="5340" spans="1:4" x14ac:dyDescent="0.2">
      <c r="A5340" s="5">
        <v>5279</v>
      </c>
      <c r="B5340" s="1832">
        <f>'Revenues 9-14'!D65</f>
        <v>13033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13033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550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10497</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69918</v>
      </c>
      <c r="D5354" s="2" t="str">
        <f t="shared" si="82"/>
        <v>Error?</v>
      </c>
    </row>
    <row r="5355" spans="1:4" x14ac:dyDescent="0.2">
      <c r="A5355" s="5">
        <v>5294</v>
      </c>
      <c r="B5355" s="1832">
        <f>'Revenues 9-14'!D108</f>
        <v>393149</v>
      </c>
      <c r="C5355" s="2" t="s">
        <v>569</v>
      </c>
      <c r="D5355" s="2" t="str">
        <f t="shared" si="82"/>
        <v>Error?</v>
      </c>
    </row>
    <row r="5356" spans="1:4" x14ac:dyDescent="0.2">
      <c r="A5356" s="5">
        <v>5295</v>
      </c>
      <c r="B5356" s="1832">
        <f>'Revenues 9-14'!D109</f>
        <v>948968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948968</v>
      </c>
      <c r="C5508" s="2" t="s">
        <v>569</v>
      </c>
      <c r="D5508" s="2" t="str">
        <f t="shared" si="85"/>
        <v>Error?</v>
      </c>
    </row>
    <row r="5509" spans="1:4" x14ac:dyDescent="0.2">
      <c r="A5509" s="5">
        <v>5448</v>
      </c>
      <c r="B5509" s="1832">
        <f>'Revenues 9-14'!E5</f>
        <v>764147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764147</v>
      </c>
      <c r="C5513" s="2" t="s">
        <v>569</v>
      </c>
      <c r="D5513" s="2" t="str">
        <f t="shared" si="85"/>
        <v>Error?</v>
      </c>
    </row>
    <row r="5514" spans="1:4" x14ac:dyDescent="0.2">
      <c r="A5514" s="5">
        <v>5453</v>
      </c>
      <c r="B5514" s="1832">
        <f>'Revenues 9-14'!E14</f>
        <v>364</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364</v>
      </c>
      <c r="C5518" s="2" t="s">
        <v>569</v>
      </c>
      <c r="D5518" s="2" t="str">
        <f t="shared" si="85"/>
        <v>Error?</v>
      </c>
    </row>
    <row r="5519" spans="1:4" x14ac:dyDescent="0.2">
      <c r="A5519" s="5">
        <v>5458</v>
      </c>
      <c r="B5519" s="1832">
        <f>'Revenues 9-14'!E65</f>
        <v>5443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5443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769954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769954</v>
      </c>
      <c r="C5552" s="2" t="s">
        <v>569</v>
      </c>
      <c r="D5552" s="2" t="str">
        <f t="shared" si="85"/>
        <v>Error?</v>
      </c>
    </row>
    <row r="5553" spans="1:4" x14ac:dyDescent="0.2">
      <c r="A5553" s="5">
        <v>5492</v>
      </c>
      <c r="B5553" s="1832">
        <f>'Revenues 9-14'!F5</f>
        <v>260413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260413</v>
      </c>
      <c r="C5557" s="2" t="s">
        <v>569</v>
      </c>
      <c r="D5557" s="2" t="str">
        <f t="shared" si="85"/>
        <v>Error?</v>
      </c>
    </row>
    <row r="5558" spans="1:4" x14ac:dyDescent="0.2">
      <c r="A5558" s="5">
        <v>5497</v>
      </c>
      <c r="B5558" s="1832">
        <f>'Revenues 9-14'!F14</f>
        <v>124</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124</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418600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739</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419339</v>
      </c>
      <c r="C5579" s="2" t="s">
        <v>569</v>
      </c>
      <c r="D5579" s="2" t="str">
        <f t="shared" si="86"/>
        <v>Error?</v>
      </c>
    </row>
    <row r="5580" spans="1:4" x14ac:dyDescent="0.2">
      <c r="A5580" s="5">
        <v>5519</v>
      </c>
      <c r="B5580" s="1832">
        <f>'Revenues 9-14'!F65</f>
        <v>11531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11531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24</v>
      </c>
      <c r="D5586" s="2" t="str">
        <f t="shared" si="86"/>
        <v>Error?</v>
      </c>
    </row>
    <row r="5587" spans="1:4" x14ac:dyDescent="0.2">
      <c r="A5587" s="5">
        <v>5526</v>
      </c>
      <c r="B5587" s="1832">
        <f>'Revenues 9-14'!F108</f>
        <v>24</v>
      </c>
      <c r="C5587" s="2" t="s">
        <v>569</v>
      </c>
      <c r="D5587" s="2" t="str">
        <f t="shared" si="86"/>
        <v>Error?</v>
      </c>
    </row>
    <row r="5588" spans="1:4" x14ac:dyDescent="0.2">
      <c r="A5588" s="5">
        <v>5527</v>
      </c>
      <c r="B5588" s="1832">
        <f>'Revenues 9-14'!F109</f>
        <v>691431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30000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30000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57525</v>
      </c>
      <c r="D5615" s="2" t="str">
        <f t="shared" si="86"/>
        <v>Error?</v>
      </c>
    </row>
    <row r="5616" spans="1:4" x14ac:dyDescent="0.2">
      <c r="A5616" s="10">
        <v>5555</v>
      </c>
      <c r="B5616" s="1832"/>
      <c r="D5616" s="2" t="str">
        <f t="shared" si="86"/>
        <v>OK</v>
      </c>
    </row>
    <row r="5617" spans="1:5" x14ac:dyDescent="0.2">
      <c r="A5617" s="5">
        <v>5556</v>
      </c>
      <c r="B5617" s="1832">
        <f>'Revenues 9-14'!F153</f>
        <v>130799</v>
      </c>
      <c r="D5617" s="2" t="str">
        <f t="shared" si="86"/>
        <v>Error?</v>
      </c>
    </row>
    <row r="5618" spans="1:5" x14ac:dyDescent="0.2">
      <c r="A5618" s="5">
        <v>5557</v>
      </c>
      <c r="B5618" s="1832">
        <f>'Revenues 9-14'!F155</f>
        <v>188324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188324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218324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909755</v>
      </c>
      <c r="C5720" s="2" t="s">
        <v>569</v>
      </c>
      <c r="D5720" s="2" t="str">
        <f t="shared" si="88"/>
        <v>Error?</v>
      </c>
    </row>
    <row r="5721" spans="1:4" x14ac:dyDescent="0.2">
      <c r="A5721" s="5">
        <v>5660</v>
      </c>
      <c r="B5721" s="1832">
        <f>'Revenues 9-14'!G5</f>
        <v>95376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105402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200778</v>
      </c>
      <c r="C5725" s="2" t="s">
        <v>569</v>
      </c>
      <c r="D5725" s="2" t="str">
        <f t="shared" si="88"/>
        <v>Error?</v>
      </c>
    </row>
    <row r="5726" spans="1:4" x14ac:dyDescent="0.2">
      <c r="A5726" s="5">
        <v>5665</v>
      </c>
      <c r="B5726" s="1832">
        <f>'Revenues 9-14'!G14</f>
        <v>96</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31200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31296</v>
      </c>
      <c r="C5730" s="2" t="s">
        <v>569</v>
      </c>
      <c r="D5730" s="2" t="str">
        <f t="shared" si="88"/>
        <v>Error?</v>
      </c>
    </row>
    <row r="5731" spans="1:4" x14ac:dyDescent="0.2">
      <c r="A5731" s="5">
        <v>5670</v>
      </c>
      <c r="B5731" s="1832">
        <f>'Revenues 9-14'!G65</f>
        <v>12914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12914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41400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286388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6716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6716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18268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74984</v>
      </c>
      <c r="C5915" s="2" t="s">
        <v>569</v>
      </c>
      <c r="D5915" s="2" t="str">
        <f t="shared" si="91"/>
        <v>Error?</v>
      </c>
    </row>
    <row r="5916" spans="1:4" x14ac:dyDescent="0.2">
      <c r="A5916" s="5">
        <v>5855</v>
      </c>
      <c r="B5916" s="1832">
        <f>'Revenues 9-14'!I5</f>
        <v>108505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108505</v>
      </c>
      <c r="C5918" s="2" t="s">
        <v>569</v>
      </c>
      <c r="D5918" s="2" t="str">
        <f t="shared" si="91"/>
        <v>Error?</v>
      </c>
    </row>
    <row r="5919" spans="1:4" x14ac:dyDescent="0.2">
      <c r="A5919" s="5">
        <v>5858</v>
      </c>
      <c r="B5919" s="1832">
        <f>'Revenues 9-14'!I14</f>
        <v>52</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52</v>
      </c>
      <c r="C5923" s="2" t="s">
        <v>569</v>
      </c>
      <c r="D5923" s="2" t="str">
        <f t="shared" si="91"/>
        <v>Error?</v>
      </c>
    </row>
    <row r="5924" spans="1:4" x14ac:dyDescent="0.2">
      <c r="A5924" s="5">
        <v>5863</v>
      </c>
      <c r="B5924" s="1832">
        <f>'Revenues 9-14'!I65</f>
        <v>63225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63225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171782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22222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22222</v>
      </c>
      <c r="C5987" s="2" t="s">
        <v>569</v>
      </c>
      <c r="D5987" s="2" t="str">
        <f t="shared" si="92"/>
        <v>Error?</v>
      </c>
    </row>
    <row r="5988" spans="1:4" x14ac:dyDescent="0.2">
      <c r="A5988" s="5">
        <v>5927</v>
      </c>
      <c r="B5988" s="1832">
        <f>'Revenues 9-14'!K14</f>
        <v>11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11</v>
      </c>
      <c r="C5992" s="2" t="s">
        <v>569</v>
      </c>
      <c r="D5992" s="2" t="str">
        <f t="shared" si="92"/>
        <v>Error?</v>
      </c>
    </row>
    <row r="5993" spans="1:4" x14ac:dyDescent="0.2">
      <c r="A5993" s="5">
        <v>5932</v>
      </c>
      <c r="B5993" s="1832">
        <f>'Revenues 9-14'!K65</f>
        <v>6148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6148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28381</v>
      </c>
      <c r="C6023" s="2" t="s">
        <v>569</v>
      </c>
      <c r="D6023" s="2" t="str">
        <f t="shared" si="93"/>
        <v>Error?</v>
      </c>
    </row>
    <row r="6024" spans="1:5" x14ac:dyDescent="0.2">
      <c r="A6024" s="5">
        <v>5963</v>
      </c>
      <c r="B6024" s="1832">
        <f>'Revenues 9-14'!G109</f>
        <v>286388</v>
      </c>
      <c r="C6024" s="2" t="s">
        <v>569</v>
      </c>
      <c r="D6024" s="2" t="str">
        <f t="shared" si="93"/>
        <v>Error?</v>
      </c>
    </row>
    <row r="6025" spans="1:5" x14ac:dyDescent="0.2">
      <c r="A6025" s="5">
        <v>5964</v>
      </c>
      <c r="B6025" s="1832">
        <f>'Revenues 9-14'!H109</f>
        <v>24984</v>
      </c>
      <c r="C6025" s="2" t="s">
        <v>569</v>
      </c>
      <c r="D6025" s="2" t="str">
        <f t="shared" si="93"/>
        <v>Error?</v>
      </c>
    </row>
    <row r="6026" spans="1:5" x14ac:dyDescent="0.2">
      <c r="A6026" s="5">
        <v>5965</v>
      </c>
      <c r="B6026" s="1832">
        <f>'Revenues 9-14'!I109</f>
        <v>171782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28381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19154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9053.4599999999991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503.1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350533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4900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350533</v>
      </c>
      <c r="D6215" s="2" t="str">
        <f t="shared" si="96"/>
        <v>Error?</v>
      </c>
      <c r="E6215" s="2" t="s">
        <v>189</v>
      </c>
    </row>
    <row r="6216" spans="1:5" x14ac:dyDescent="0.2">
      <c r="A6216">
        <v>6155</v>
      </c>
      <c r="B6216" s="1832">
        <f>'Assets-Liab 5-6'!J41</f>
        <v>350533</v>
      </c>
      <c r="D6216" s="2" t="str">
        <f t="shared" si="96"/>
        <v>Error?</v>
      </c>
      <c r="E6216" s="2" t="s">
        <v>189</v>
      </c>
    </row>
    <row r="6217" spans="1:5" x14ac:dyDescent="0.2">
      <c r="A6217">
        <v>6156</v>
      </c>
      <c r="B6217" s="1832">
        <f>'Assets-Liab 5-6'!J4</f>
        <v>131957</v>
      </c>
      <c r="D6217" s="2" t="str">
        <f t="shared" si="96"/>
        <v>Error?</v>
      </c>
      <c r="E6217" s="2" t="s">
        <v>189</v>
      </c>
    </row>
    <row r="6218" spans="1:5" x14ac:dyDescent="0.2">
      <c r="A6218">
        <v>6157</v>
      </c>
      <c r="B6218" s="1832">
        <f>'Assets-Liab 5-6'!J5</f>
        <v>218576</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313847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313847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313847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235679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235679</v>
      </c>
      <c r="D6229" s="2" t="str">
        <f t="shared" si="96"/>
        <v>Error?</v>
      </c>
      <c r="E6229" s="2" t="s">
        <v>189</v>
      </c>
    </row>
    <row r="6230" spans="1:5" x14ac:dyDescent="0.2">
      <c r="A6230">
        <v>6169</v>
      </c>
      <c r="B6230" s="1832">
        <f>'Acct Summary 7-8'!J20</f>
        <v>78168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78168</v>
      </c>
      <c r="D6263" s="2" t="str">
        <f t="shared" si="96"/>
        <v>Error?</v>
      </c>
      <c r="E6263" s="2" t="s">
        <v>189</v>
      </c>
    </row>
    <row r="6264" spans="1:5" x14ac:dyDescent="0.2">
      <c r="A6264">
        <v>6203</v>
      </c>
      <c r="B6264" s="1832">
        <f>'Acct Summary 7-8'!J79</f>
        <v>272365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350533</v>
      </c>
      <c r="D6266" s="2" t="str">
        <f t="shared" si="96"/>
        <v>Error?</v>
      </c>
      <c r="E6266" s="2" t="s">
        <v>189</v>
      </c>
    </row>
    <row r="6267" spans="1:5" x14ac:dyDescent="0.2">
      <c r="A6267">
        <v>6206</v>
      </c>
      <c r="B6267" s="1832">
        <f>'Acct Summary 7-8'!C82</f>
        <v>277617</v>
      </c>
      <c r="D6267" s="2" t="str">
        <f t="shared" si="96"/>
        <v>Error?</v>
      </c>
      <c r="E6267" s="2" t="s">
        <v>189</v>
      </c>
    </row>
    <row r="6268" spans="1:5" x14ac:dyDescent="0.2">
      <c r="A6268">
        <v>6207</v>
      </c>
      <c r="B6268" s="1832">
        <f>'Acct Summary 7-8'!D82</f>
        <v>162691</v>
      </c>
      <c r="D6268" s="2" t="str">
        <f t="shared" si="96"/>
        <v>Error?</v>
      </c>
      <c r="E6268" s="2" t="s">
        <v>189</v>
      </c>
    </row>
    <row r="6269" spans="1:5" x14ac:dyDescent="0.2">
      <c r="A6269">
        <v>6208</v>
      </c>
      <c r="B6269" s="1832">
        <f>'Acct Summary 7-8'!E82</f>
        <v>12786</v>
      </c>
      <c r="D6269" s="2" t="str">
        <f t="shared" si="96"/>
        <v>Error?</v>
      </c>
      <c r="E6269" s="2" t="s">
        <v>189</v>
      </c>
    </row>
    <row r="6270" spans="1:5" x14ac:dyDescent="0.2">
      <c r="A6270">
        <v>6209</v>
      </c>
      <c r="B6270" s="1832">
        <f>'Acct Summary 7-8'!F82</f>
        <v>390</v>
      </c>
      <c r="D6270" s="2" t="str">
        <f t="shared" si="96"/>
        <v>Error?</v>
      </c>
      <c r="E6270" s="2" t="s">
        <v>189</v>
      </c>
    </row>
    <row r="6271" spans="1:5" x14ac:dyDescent="0.2">
      <c r="A6271">
        <v>6210</v>
      </c>
      <c r="B6271" s="1832">
        <f>'Acct Summary 7-8'!G82</f>
        <v>5834</v>
      </c>
      <c r="D6271" s="2" t="str">
        <f t="shared" ref="D6271:D6334" si="97">IF(ISBLANK(B6271),"OK",IF(A6271-B6271=0,"OK","Error?"))</f>
        <v>Error?</v>
      </c>
      <c r="E6271" s="2" t="s">
        <v>189</v>
      </c>
    </row>
    <row r="6272" spans="1:5" x14ac:dyDescent="0.2">
      <c r="A6272">
        <v>6211</v>
      </c>
      <c r="B6272" s="1832">
        <f>'Acct Summary 7-8'!H82</f>
        <v>891500</v>
      </c>
      <c r="D6272" s="2" t="str">
        <f t="shared" si="97"/>
        <v>Error?</v>
      </c>
      <c r="E6272" s="2" t="s">
        <v>189</v>
      </c>
    </row>
    <row r="6273" spans="1:5" x14ac:dyDescent="0.2">
      <c r="A6273">
        <v>6212</v>
      </c>
      <c r="B6273" s="1832">
        <f>'Acct Summary 7-8'!I82</f>
        <v>-3218</v>
      </c>
      <c r="D6273" s="2" t="str">
        <f t="shared" si="97"/>
        <v>Error?</v>
      </c>
      <c r="E6273" s="2" t="s">
        <v>189</v>
      </c>
    </row>
    <row r="6274" spans="1:5" x14ac:dyDescent="0.2">
      <c r="A6274">
        <v>6213</v>
      </c>
      <c r="B6274" s="1832">
        <f>'Acct Summary 7-8'!J82</f>
        <v>78168</v>
      </c>
      <c r="D6274" s="2" t="str">
        <f t="shared" si="97"/>
        <v>Error?</v>
      </c>
      <c r="E6274" s="2" t="s">
        <v>189</v>
      </c>
    </row>
    <row r="6275" spans="1:5" x14ac:dyDescent="0.2">
      <c r="A6275">
        <v>6214</v>
      </c>
      <c r="B6275" s="1832">
        <f>'Acct Summary 7-8'!K82</f>
        <v>28381</v>
      </c>
      <c r="D6275" s="2" t="str">
        <f t="shared" si="97"/>
        <v>Error?</v>
      </c>
      <c r="E6275" s="2" t="s">
        <v>189</v>
      </c>
    </row>
    <row r="6276" spans="1:5" x14ac:dyDescent="0.2">
      <c r="A6276">
        <v>6215</v>
      </c>
      <c r="B6276" s="1832">
        <f>'Acct Summary 7-8'!C83</f>
        <v>0.10056812439254378</v>
      </c>
      <c r="D6276" s="2" t="str">
        <f t="shared" si="97"/>
        <v>Error?</v>
      </c>
      <c r="E6276" s="2" t="s">
        <v>189</v>
      </c>
    </row>
    <row r="6277" spans="1:5" x14ac:dyDescent="0.2">
      <c r="A6277">
        <v>6216</v>
      </c>
      <c r="B6277" s="1832">
        <f>'Acct Summary 7-8'!D83</f>
        <v>0.16501758290132579</v>
      </c>
      <c r="D6277" s="2" t="str">
        <f t="shared" si="97"/>
        <v>Error?</v>
      </c>
      <c r="E6277" s="2" t="s">
        <v>189</v>
      </c>
    </row>
    <row r="6278" spans="1:5" x14ac:dyDescent="0.2">
      <c r="A6278">
        <v>6217</v>
      </c>
      <c r="B6278" s="1832">
        <f>'Acct Summary 7-8'!E83</f>
        <v>0.11139571353894406</v>
      </c>
      <c r="D6278" s="2" t="str">
        <f t="shared" si="97"/>
        <v>Error?</v>
      </c>
      <c r="E6278" s="2" t="s">
        <v>189</v>
      </c>
    </row>
    <row r="6279" spans="1:5" x14ac:dyDescent="0.2">
      <c r="A6279">
        <v>6218</v>
      </c>
      <c r="B6279" s="1832">
        <f>'Acct Summary 7-8'!F83</f>
        <v>7.6565168737852639E-4</v>
      </c>
      <c r="D6279" s="2" t="str">
        <f t="shared" si="97"/>
        <v>Error?</v>
      </c>
      <c r="E6279" s="2" t="s">
        <v>189</v>
      </c>
    </row>
    <row r="6280" spans="1:5" x14ac:dyDescent="0.2">
      <c r="A6280">
        <v>6219</v>
      </c>
      <c r="B6280" s="1832">
        <f>'Acct Summary 7-8'!G83</f>
        <v>1.1616538733410989E-2</v>
      </c>
      <c r="D6280" s="2" t="str">
        <f t="shared" si="97"/>
        <v>Error?</v>
      </c>
      <c r="E6280" s="2" t="s">
        <v>189</v>
      </c>
    </row>
    <row r="6281" spans="1:5" x14ac:dyDescent="0.2">
      <c r="A6281">
        <v>6220</v>
      </c>
      <c r="B6281" s="1832">
        <f>'Acct Summary 7-8'!H83</f>
        <v>0.81987943220015547</v>
      </c>
      <c r="D6281" s="2" t="str">
        <f t="shared" si="97"/>
        <v>Error?</v>
      </c>
      <c r="E6281" s="2" t="s">
        <v>189</v>
      </c>
    </row>
    <row r="6282" spans="1:5" x14ac:dyDescent="0.2">
      <c r="A6282">
        <v>6221</v>
      </c>
      <c r="B6282" s="1832">
        <f>'Acct Summary 7-8'!I83</f>
        <v>-1.090019412371822E-3</v>
      </c>
      <c r="D6282" s="2" t="str">
        <f t="shared" si="97"/>
        <v>Error?</v>
      </c>
      <c r="E6282" s="2" t="s">
        <v>189</v>
      </c>
    </row>
    <row r="6283" spans="1:5" x14ac:dyDescent="0.2">
      <c r="A6283">
        <v>6222</v>
      </c>
      <c r="B6283" s="1832">
        <f>'Acct Summary 7-8'!J83</f>
        <v>0.22299754944612918</v>
      </c>
      <c r="D6283" s="2" t="str">
        <f t="shared" si="97"/>
        <v>Error?</v>
      </c>
      <c r="E6283" s="2" t="s">
        <v>189</v>
      </c>
    </row>
    <row r="6284" spans="1:5" x14ac:dyDescent="0.2">
      <c r="A6284">
        <v>6223</v>
      </c>
      <c r="B6284" s="1832">
        <f>'Acct Summary 7-8'!K83</f>
        <v>0.10127969053328766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205000</v>
      </c>
      <c r="D6287" s="2" t="str">
        <f t="shared" si="97"/>
        <v>Error?</v>
      </c>
      <c r="E6287" s="2" t="s">
        <v>189</v>
      </c>
    </row>
    <row r="6288" spans="1:5" x14ac:dyDescent="0.2">
      <c r="A6288">
        <v>6227</v>
      </c>
      <c r="B6288" s="1832">
        <f>'Acct Summary 7-8'!E40</f>
        <v>22725</v>
      </c>
      <c r="D6288" s="2" t="str">
        <f t="shared" si="97"/>
        <v>Error?</v>
      </c>
      <c r="E6288" s="2" t="s">
        <v>189</v>
      </c>
    </row>
    <row r="6289" spans="1:5" x14ac:dyDescent="0.2">
      <c r="A6289">
        <v>6228</v>
      </c>
      <c r="B6289" s="1832">
        <f>'Acct Summary 7-8'!H41</f>
        <v>600000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286085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286085</v>
      </c>
      <c r="D6301" s="2" t="str">
        <f t="shared" si="97"/>
        <v>Error?</v>
      </c>
      <c r="E6301" s="2" t="s">
        <v>189</v>
      </c>
    </row>
    <row r="6302" spans="1:5" x14ac:dyDescent="0.2">
      <c r="A6302">
        <v>6241</v>
      </c>
      <c r="B6302" s="1832">
        <f>'Revenues 9-14'!J14</f>
        <v>136</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136</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8297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8297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19329</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312184</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2900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41400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19329</v>
      </c>
      <c r="D6351" s="2" t="str">
        <f t="shared" si="98"/>
        <v>Error?</v>
      </c>
      <c r="E6351" s="2" t="s">
        <v>189</v>
      </c>
    </row>
    <row r="6352" spans="1:5" x14ac:dyDescent="0.2">
      <c r="A6352">
        <v>6291</v>
      </c>
      <c r="B6352" s="1832">
        <f>'Revenues 9-14'!J109</f>
        <v>313847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5737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95601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314094</v>
      </c>
      <c r="D6880" s="2" t="str">
        <f t="shared" si="106"/>
        <v>Error?</v>
      </c>
    </row>
    <row r="6881" spans="1:4" x14ac:dyDescent="0.2">
      <c r="A6881">
        <v>6820</v>
      </c>
      <c r="B6881" s="1832">
        <f>'Expenditures 15-22'!K22</f>
        <v>314094</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13960</v>
      </c>
      <c r="D6983" s="2" t="str">
        <f t="shared" si="108"/>
        <v>Error?</v>
      </c>
    </row>
    <row r="6984" spans="1:4" x14ac:dyDescent="0.2">
      <c r="A6984">
        <v>6923</v>
      </c>
      <c r="B6984" s="1832">
        <f>'Expenditures 15-22'!K86</f>
        <v>13960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33750</v>
      </c>
      <c r="D6987" s="2" t="str">
        <f t="shared" si="108"/>
        <v>Error?</v>
      </c>
    </row>
    <row r="6988" spans="1:4" x14ac:dyDescent="0.2">
      <c r="A6988">
        <v>6927</v>
      </c>
      <c r="B6988" s="1832">
        <f>'Expenditures 15-22'!K88</f>
        <v>33750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47710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235679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313847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957</v>
      </c>
      <c r="D7079" s="2" t="str">
        <f t="shared" si="109"/>
        <v>Error?</v>
      </c>
    </row>
    <row r="7080" spans="1:4" x14ac:dyDescent="0.2">
      <c r="A7080">
        <v>7019</v>
      </c>
      <c r="B7080" s="1832">
        <f>'Expenditures 15-22'!K226</f>
        <v>957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43339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43339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58610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58610</v>
      </c>
      <c r="D7153" s="2" t="str">
        <f t="shared" si="110"/>
        <v>Error?</v>
      </c>
    </row>
    <row r="7154" spans="1:4" x14ac:dyDescent="0.2">
      <c r="A7154">
        <v>7093</v>
      </c>
      <c r="B7154" s="1832">
        <f>'Expenditures 15-22'!C323</f>
        <v>72500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43000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115500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18230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18230</v>
      </c>
      <c r="D7198" s="2" t="str">
        <f t="shared" si="111"/>
        <v>Error?</v>
      </c>
    </row>
    <row r="7199" spans="1:4" x14ac:dyDescent="0.2">
      <c r="A7199">
        <v>7138</v>
      </c>
      <c r="B7199" s="1832">
        <f>'Expenditures 15-22'!C330</f>
        <v>72500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163179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235679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72500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163179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235679</v>
      </c>
      <c r="D7224" s="2" t="str">
        <f t="shared" si="111"/>
        <v>Error?</v>
      </c>
    </row>
    <row r="7225" spans="1:4" x14ac:dyDescent="0.2">
      <c r="A7225">
        <v>7164</v>
      </c>
      <c r="B7225" s="1832">
        <f>'Expenditures 15-22'!K343</f>
        <v>78168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65979</v>
      </c>
      <c r="D7263" s="2" t="str">
        <f t="shared" si="112"/>
        <v>Error?</v>
      </c>
    </row>
    <row r="7264" spans="1:4" x14ac:dyDescent="0.2">
      <c r="A7264">
        <f t="shared" si="113"/>
        <v>7203</v>
      </c>
      <c r="B7264" s="1832">
        <f>'Expenditures 15-22'!D17</f>
        <v>12864</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16758</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102210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102210</v>
      </c>
      <c r="D7600" s="2" t="str">
        <f t="shared" si="122"/>
        <v>Error?</v>
      </c>
      <c r="E7600" s="2" t="s">
        <v>19</v>
      </c>
    </row>
    <row r="7601" spans="1:5" x14ac:dyDescent="0.2">
      <c r="A7601">
        <f t="shared" si="123"/>
        <v>7540</v>
      </c>
      <c r="B7601" s="1832">
        <f>'Cap Outlay Deprec 26'!H6</f>
        <v>20440</v>
      </c>
      <c r="D7601" s="2" t="str">
        <f t="shared" si="122"/>
        <v>Error?</v>
      </c>
      <c r="E7601" s="2" t="s">
        <v>19</v>
      </c>
    </row>
    <row r="7602" spans="1:5" x14ac:dyDescent="0.2">
      <c r="A7602">
        <f t="shared" si="123"/>
        <v>7541</v>
      </c>
      <c r="B7602" s="1832">
        <f>'Cap Outlay Deprec 26'!I6</f>
        <v>2044</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22484</v>
      </c>
      <c r="D7604" s="2" t="str">
        <f t="shared" si="122"/>
        <v>Error?</v>
      </c>
      <c r="E7604" s="2" t="s">
        <v>19</v>
      </c>
    </row>
    <row r="7605" spans="1:5" x14ac:dyDescent="0.2">
      <c r="A7605">
        <f t="shared" si="123"/>
        <v>7544</v>
      </c>
      <c r="B7605" s="1832">
        <f>'Cap Outlay Deprec 26'!L6</f>
        <v>79726</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3657</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3657</v>
      </c>
      <c r="D7618" s="2" t="str">
        <f t="shared" si="124"/>
        <v>Error?</v>
      </c>
      <c r="E7618" s="2" t="s">
        <v>19</v>
      </c>
    </row>
    <row r="7619" spans="1:5" x14ac:dyDescent="0.2">
      <c r="A7619">
        <f t="shared" si="123"/>
        <v>7558</v>
      </c>
      <c r="B7619" s="1832">
        <f>'Cap Outlay Deprec 26'!H14</f>
        <v>3657</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3657</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996766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205000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22725</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600000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2900</v>
      </c>
      <c r="D7712" s="2" t="str">
        <f t="shared" si="126"/>
        <v>Error?</v>
      </c>
      <c r="E7712" s="2" t="s">
        <v>822</v>
      </c>
    </row>
    <row r="7713" spans="1:6" x14ac:dyDescent="0.2">
      <c r="A7713">
        <v>7652</v>
      </c>
      <c r="B7713" s="1832">
        <f>'Rest Tax Levies-Tort Im 25'!J8</f>
        <v>18268</v>
      </c>
      <c r="D7713" s="2" t="str">
        <f t="shared" si="126"/>
        <v>Error?</v>
      </c>
      <c r="E7713" s="2" t="s">
        <v>822</v>
      </c>
    </row>
    <row r="7714" spans="1:6" x14ac:dyDescent="0.2">
      <c r="A7714">
        <v>7653</v>
      </c>
      <c r="B7714" s="1832">
        <f>'Rest Tax Levies-Tort Im 25'!K9</f>
        <v>17411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18268</v>
      </c>
      <c r="D7718" s="2" t="str">
        <f t="shared" si="126"/>
        <v>Error?</v>
      </c>
      <c r="E7718" s="2" t="s">
        <v>822</v>
      </c>
    </row>
    <row r="7719" spans="1:6" x14ac:dyDescent="0.2">
      <c r="A7719">
        <v>7658</v>
      </c>
      <c r="B7719" s="1832">
        <f>'Rest Tax Levies-Tort Im 25'!K12</f>
        <v>20311</v>
      </c>
      <c r="D7719" s="2" t="str">
        <f t="shared" si="126"/>
        <v>Error?</v>
      </c>
      <c r="E7719" s="2" t="s">
        <v>822</v>
      </c>
    </row>
    <row r="7720" spans="1:6" x14ac:dyDescent="0.2">
      <c r="A7720">
        <v>7659</v>
      </c>
      <c r="B7720" s="1832">
        <f>'Rest Tax Levies-Tort Im 25'!H14</f>
        <v>43443</v>
      </c>
      <c r="D7720" s="2" t="str">
        <f t="shared" si="126"/>
        <v>Error?</v>
      </c>
      <c r="E7720" s="2" t="s">
        <v>822</v>
      </c>
    </row>
    <row r="7721" spans="1:6" x14ac:dyDescent="0.2">
      <c r="A7721">
        <v>7660</v>
      </c>
      <c r="B7721" s="1832">
        <f>'Rest Tax Levies-Tort Im 25'!K14</f>
        <v>20311</v>
      </c>
      <c r="D7721" s="2" t="str">
        <f t="shared" si="126"/>
        <v>Error?</v>
      </c>
      <c r="E7721" s="2" t="s">
        <v>822</v>
      </c>
    </row>
    <row r="7722" spans="1:6" x14ac:dyDescent="0.2">
      <c r="A7722">
        <v>7661</v>
      </c>
      <c r="B7722" s="1832">
        <f>'Rest Tax Levies-Tort Im 25'!J15</f>
        <v>18289</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18289</v>
      </c>
      <c r="D7730" s="2" t="str">
        <f t="shared" si="126"/>
        <v>Error?</v>
      </c>
      <c r="E7730" s="2" t="s">
        <v>822</v>
      </c>
    </row>
    <row r="7731" spans="1:6" x14ac:dyDescent="0.2">
      <c r="A7731">
        <v>7670</v>
      </c>
      <c r="B7731" s="1832">
        <f>'Revenues 9-14'!H103</f>
        <v>18268</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725000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20000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930000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20311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4515000</v>
      </c>
      <c r="D7817" s="2" t="str">
        <f t="shared" si="128"/>
        <v>Error?</v>
      </c>
      <c r="E7817" s="4" t="s">
        <v>1966</v>
      </c>
    </row>
    <row r="7818" spans="1:5" x14ac:dyDescent="0.2">
      <c r="A7818">
        <v>7757</v>
      </c>
      <c r="B7818" s="1832">
        <f>'PCTC-OEPP 27-28'!F172</f>
        <v>180427.8</v>
      </c>
      <c r="D7818" s="2" t="str">
        <f t="shared" si="128"/>
        <v>Error?</v>
      </c>
      <c r="E7818" s="4" t="s">
        <v>1980</v>
      </c>
    </row>
    <row r="7819" spans="1:5" x14ac:dyDescent="0.2">
      <c r="A7819">
        <v>7758</v>
      </c>
      <c r="B7819" s="1832">
        <f>'PCTC-OEPP 27-28'!F173</f>
        <v>14206.14</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9235333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5808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2106703</v>
      </c>
      <c r="D7834" s="2" t="str">
        <f t="shared" si="129"/>
        <v>Error?</v>
      </c>
      <c r="E7834" s="4" t="s">
        <v>1998</v>
      </c>
    </row>
    <row r="7835" spans="1:5" x14ac:dyDescent="0.2">
      <c r="A7835">
        <v>7774</v>
      </c>
      <c r="B7835" s="1832">
        <f>'PCTC-OEPP 27-28'!F78</f>
        <v>7128630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14169.409660107334</v>
      </c>
      <c r="D7837" s="2" t="str">
        <f t="shared" si="129"/>
        <v>Error?</v>
      </c>
      <c r="E7837" s="4" t="s">
        <v>1998</v>
      </c>
    </row>
    <row r="7838" spans="1:5" x14ac:dyDescent="0.2">
      <c r="A7838">
        <v>7777</v>
      </c>
      <c r="B7838" s="1832">
        <f>'PCTC-OEPP 27-28'!F96</f>
        <v>60606</v>
      </c>
      <c r="D7838" s="2" t="str">
        <f t="shared" si="129"/>
        <v>Error?</v>
      </c>
      <c r="E7838" s="4" t="s">
        <v>1998</v>
      </c>
    </row>
    <row r="7839" spans="1:5" x14ac:dyDescent="0.2">
      <c r="A7839">
        <v>7778</v>
      </c>
      <c r="B7839" s="1832">
        <f>'PCTC-OEPP 27-28'!F102</f>
        <v>550</v>
      </c>
      <c r="D7839" s="2" t="str">
        <f t="shared" si="129"/>
        <v>Error?</v>
      </c>
      <c r="E7839" s="4" t="s">
        <v>1998</v>
      </c>
    </row>
    <row r="7840" spans="1:5" x14ac:dyDescent="0.2">
      <c r="A7840">
        <v>7779</v>
      </c>
      <c r="B7840" s="1832">
        <f>'PCTC-OEPP 27-28'!F103</f>
        <v>9619</v>
      </c>
      <c r="D7840" s="2" t="str">
        <f t="shared" si="129"/>
        <v>Error?</v>
      </c>
      <c r="E7840" s="4" t="s">
        <v>1998</v>
      </c>
    </row>
    <row r="7841" spans="1:5" x14ac:dyDescent="0.2">
      <c r="A7841">
        <v>7780</v>
      </c>
      <c r="B7841" s="1832">
        <f>'PCTC-OEPP 27-28'!F104</f>
        <v>41400</v>
      </c>
      <c r="D7841" s="2" t="str">
        <f t="shared" si="129"/>
        <v>Error?</v>
      </c>
      <c r="E7841" s="4" t="s">
        <v>1998</v>
      </c>
    </row>
    <row r="7842" spans="1:5" x14ac:dyDescent="0.2">
      <c r="A7842">
        <v>7781</v>
      </c>
      <c r="B7842" s="1832">
        <f>'PCTC-OEPP 27-28'!F106</f>
        <v>57502</v>
      </c>
      <c r="D7842" s="2" t="str">
        <f t="shared" si="129"/>
        <v>Error?</v>
      </c>
      <c r="E7842" s="4" t="s">
        <v>1998</v>
      </c>
    </row>
    <row r="7843" spans="1:5" x14ac:dyDescent="0.2">
      <c r="A7843">
        <v>7782</v>
      </c>
      <c r="B7843" s="1832">
        <f>'PCTC-OEPP 27-28'!F107</f>
        <v>15057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17411</v>
      </c>
      <c r="D7846" s="2" t="str">
        <f t="shared" si="129"/>
        <v>Error?</v>
      </c>
      <c r="E7846" s="4" t="s">
        <v>1998</v>
      </c>
    </row>
    <row r="7847" spans="1:5" x14ac:dyDescent="0.2">
      <c r="A7847">
        <v>7786</v>
      </c>
      <c r="B7847" s="1832">
        <f>'PCTC-OEPP 27-28'!F112</f>
        <v>188324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37833</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100643</v>
      </c>
      <c r="D7858" s="2" t="str">
        <f t="shared" si="129"/>
        <v>Error?</v>
      </c>
      <c r="E7858" s="4" t="s">
        <v>1998</v>
      </c>
    </row>
    <row r="7859" spans="1:5" x14ac:dyDescent="0.2">
      <c r="A7859">
        <v>7798</v>
      </c>
      <c r="B7859" s="1832">
        <f>'PCTC-OEPP 27-28'!F127</f>
        <v>136893</v>
      </c>
      <c r="D7859" s="2" t="str">
        <f t="shared" si="129"/>
        <v>Error?</v>
      </c>
      <c r="E7859" s="4" t="s">
        <v>1998</v>
      </c>
    </row>
    <row r="7860" spans="1:5" x14ac:dyDescent="0.2">
      <c r="A7860">
        <v>7799</v>
      </c>
      <c r="B7860" s="1832">
        <f>'PCTC-OEPP 27-28'!F128</f>
        <v>5540</v>
      </c>
      <c r="D7860" s="2" t="str">
        <f t="shared" si="129"/>
        <v>Error?</v>
      </c>
      <c r="E7860" s="4" t="s">
        <v>1998</v>
      </c>
    </row>
    <row r="7861" spans="1:5" x14ac:dyDescent="0.2">
      <c r="A7861">
        <v>7800</v>
      </c>
      <c r="B7861" s="1832">
        <f>'PCTC-OEPP 27-28'!F129</f>
        <v>90879</v>
      </c>
      <c r="D7861" s="2" t="str">
        <f t="shared" si="129"/>
        <v>Error?</v>
      </c>
      <c r="E7861" s="4" t="s">
        <v>1998</v>
      </c>
    </row>
    <row r="7862" spans="1:5" x14ac:dyDescent="0.2">
      <c r="A7862">
        <v>7801</v>
      </c>
      <c r="B7862" s="1832">
        <f>'PCTC-OEPP 27-28'!F130</f>
        <v>95430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11027</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10126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8277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1286755.94</v>
      </c>
      <c r="D7877" s="2" t="str">
        <f t="shared" si="129"/>
        <v>Error?</v>
      </c>
      <c r="E7877" s="4" t="s">
        <v>1998</v>
      </c>
    </row>
    <row r="7878" spans="1:5" x14ac:dyDescent="0.2">
      <c r="A7878">
        <v>7817</v>
      </c>
      <c r="B7878" s="1832">
        <f>'PCTC-OEPP 27-28'!F176</f>
        <v>5841874.0600000005</v>
      </c>
      <c r="D7878" s="2" t="str">
        <f t="shared" si="129"/>
        <v>Error?</v>
      </c>
      <c r="E7878" s="4" t="s">
        <v>1998</v>
      </c>
    </row>
    <row r="7879" spans="1:5" x14ac:dyDescent="0.2">
      <c r="A7879">
        <v>7818</v>
      </c>
      <c r="B7879" s="1832">
        <f>'PCTC-OEPP 27-28'!F178</f>
        <v>6838640.0600000005</v>
      </c>
      <c r="D7879" s="2" t="str">
        <f t="shared" si="129"/>
        <v>Error?</v>
      </c>
      <c r="E7879" s="4" t="s">
        <v>1998</v>
      </c>
    </row>
    <row r="7880" spans="1:5" x14ac:dyDescent="0.2">
      <c r="A7880">
        <v>7819</v>
      </c>
      <c r="B7880" s="1832">
        <f>'PCTC-OEPP 27-28'!F180</f>
        <v>13593.003498310476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2" t="s">
        <v>1181</v>
      </c>
      <c r="B2" s="2602"/>
      <c r="C2" s="2602"/>
      <c r="D2" s="2602"/>
      <c r="E2" s="2602"/>
      <c r="F2" s="2602"/>
      <c r="G2" s="2602"/>
      <c r="H2" s="2602"/>
      <c r="I2" s="2602"/>
      <c r="J2" s="2602"/>
      <c r="K2" s="2602"/>
      <c r="L2" s="2602"/>
    </row>
    <row r="3" spans="1:29" ht="13.5" customHeight="1" x14ac:dyDescent="0.2">
      <c r="A3" s="2588" t="s">
        <v>1180</v>
      </c>
      <c r="B3" s="2588"/>
      <c r="C3" s="2588"/>
      <c r="D3" s="2588"/>
      <c r="E3" s="2588"/>
      <c r="F3" s="2588"/>
      <c r="G3" s="2588"/>
      <c r="H3" s="2588"/>
      <c r="I3" s="2588"/>
      <c r="J3" s="2588"/>
      <c r="K3" s="2588"/>
      <c r="L3" s="2588"/>
    </row>
    <row r="4" spans="1:29" ht="13.5" customHeight="1" x14ac:dyDescent="0.2">
      <c r="A4" s="2619" t="str">
        <f>"Year Ending June 30, "&amp;'AFR20'!E2</f>
        <v>Year Ending June 30, 2020</v>
      </c>
      <c r="B4" s="2620"/>
      <c r="C4" s="2620"/>
      <c r="D4" s="2620"/>
      <c r="E4" s="2620"/>
      <c r="F4" s="2620"/>
      <c r="G4" s="2620"/>
      <c r="H4" s="2620"/>
      <c r="I4" s="2620"/>
      <c r="J4" s="2620"/>
      <c r="K4" s="2620"/>
      <c r="L4" s="262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2" t="str">
        <f>COVER!A17</f>
        <v xml:space="preserve">  Mendota Twp HSD 280</v>
      </c>
      <c r="B7" s="2583"/>
      <c r="C7" s="2583"/>
      <c r="D7" s="2621"/>
      <c r="E7" s="2622">
        <f>COVER!A13</f>
        <v>35050280017</v>
      </c>
      <c r="F7" s="2623"/>
      <c r="G7" s="2589" t="str">
        <f>COVER!T23</f>
        <v>066-005027</v>
      </c>
      <c r="H7" s="2590"/>
      <c r="I7" s="2590"/>
      <c r="J7" s="2590"/>
      <c r="K7" s="2590"/>
      <c r="L7" s="259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2"/>
      <c r="B9" s="2593"/>
      <c r="C9" s="2593"/>
      <c r="D9" s="2593"/>
      <c r="E9" s="2593"/>
      <c r="F9" s="2594"/>
      <c r="G9" s="2595" t="str">
        <f>COVER!T13</f>
        <v>Gorenz and Associates, Ltd.</v>
      </c>
      <c r="H9" s="2596"/>
      <c r="I9" s="2596"/>
      <c r="J9" s="2596"/>
      <c r="K9" s="2596"/>
      <c r="L9" s="2597"/>
    </row>
    <row r="10" spans="1:29" ht="13.5" customHeight="1" x14ac:dyDescent="0.2">
      <c r="A10" s="2579" t="str">
        <f>COVER!A38</f>
        <v>Jeff Prusator</v>
      </c>
      <c r="B10" s="2580"/>
      <c r="C10" s="2580"/>
      <c r="D10" s="2580"/>
      <c r="E10" s="2580"/>
      <c r="F10" s="2581"/>
      <c r="G10" s="2595" t="str">
        <f>COVER!T17</f>
        <v>4200 N Knoxville Ave.</v>
      </c>
      <c r="H10" s="2608"/>
      <c r="I10" s="2608"/>
      <c r="J10" s="2608"/>
      <c r="K10" s="2608"/>
      <c r="L10" s="2609"/>
    </row>
    <row r="11" spans="1:29" ht="13.5" customHeight="1" x14ac:dyDescent="0.2">
      <c r="A11" s="963" t="s">
        <v>1502</v>
      </c>
      <c r="B11" s="964"/>
      <c r="C11" s="965"/>
      <c r="D11" s="970"/>
      <c r="E11" s="965"/>
      <c r="F11" s="969"/>
      <c r="G11" s="2595" t="str">
        <f>COVER!T19</f>
        <v>Peoria</v>
      </c>
      <c r="H11" s="2608"/>
      <c r="I11" s="2608"/>
      <c r="J11" s="2608"/>
      <c r="K11" s="2608"/>
      <c r="L11" s="2609"/>
    </row>
    <row r="12" spans="1:29" ht="13.5" customHeight="1" x14ac:dyDescent="0.2">
      <c r="A12" s="2613" t="s">
        <v>1501</v>
      </c>
      <c r="B12" s="2614"/>
      <c r="C12" s="2614"/>
      <c r="D12" s="2614"/>
      <c r="E12" s="2614"/>
      <c r="F12" s="2615"/>
      <c r="G12" s="2610"/>
      <c r="H12" s="2611"/>
      <c r="I12" s="2611"/>
      <c r="J12" s="2611"/>
      <c r="K12" s="2611"/>
      <c r="L12" s="2612"/>
    </row>
    <row r="13" spans="1:29" ht="13.5" customHeight="1" x14ac:dyDescent="0.2">
      <c r="A13" s="2595"/>
      <c r="B13" s="2608"/>
      <c r="C13" s="2608"/>
      <c r="D13" s="2608"/>
      <c r="E13" s="2608"/>
      <c r="F13" s="2609"/>
      <c r="G13" s="2603" t="s">
        <v>1503</v>
      </c>
      <c r="H13" s="2604"/>
      <c r="I13" s="2616" t="str">
        <f>COVER!T25</f>
        <v>rrumbold@gorenzcpa.com</v>
      </c>
      <c r="J13" s="2617"/>
      <c r="K13" s="2617"/>
      <c r="L13" s="2618"/>
    </row>
    <row r="14" spans="1:29" ht="13.5" customHeight="1" x14ac:dyDescent="0.2">
      <c r="A14" s="2595" t="str">
        <f>COVER!A19</f>
        <v>2300 W. Main Street</v>
      </c>
      <c r="B14" s="2608"/>
      <c r="C14" s="2608"/>
      <c r="D14" s="2608"/>
      <c r="E14" s="2608"/>
      <c r="F14" s="2609"/>
      <c r="G14" s="974" t="s">
        <v>1175</v>
      </c>
      <c r="H14" s="972"/>
      <c r="I14" s="972"/>
      <c r="J14" s="972"/>
      <c r="K14" s="972"/>
      <c r="L14" s="973"/>
    </row>
    <row r="15" spans="1:29" ht="13.5" customHeight="1" x14ac:dyDescent="0.2">
      <c r="A15" s="2595" t="str">
        <f>COVER!A21</f>
        <v>Mendota</v>
      </c>
      <c r="B15" s="2608"/>
      <c r="C15" s="2608"/>
      <c r="D15" s="2608"/>
      <c r="E15" s="2608"/>
      <c r="F15" s="2609"/>
      <c r="G15" s="2605" t="str">
        <f>COVER!T15</f>
        <v>Russell J. Rumbold II, CPA</v>
      </c>
      <c r="H15" s="2606"/>
      <c r="I15" s="2606"/>
      <c r="J15" s="2606"/>
      <c r="K15" s="2606"/>
      <c r="L15" s="2607"/>
    </row>
    <row r="16" spans="1:29" ht="12.2" customHeight="1" x14ac:dyDescent="0.2">
      <c r="A16" s="2585">
        <f>COVER!A25</f>
        <v>61342</v>
      </c>
      <c r="B16" s="2586"/>
      <c r="C16" s="2586"/>
      <c r="D16" s="2586"/>
      <c r="E16" s="2586"/>
      <c r="F16" s="2587"/>
      <c r="G16" s="2598"/>
      <c r="H16" s="2599"/>
      <c r="I16" s="2599"/>
      <c r="J16" s="2599"/>
      <c r="K16" s="2599"/>
      <c r="L16" s="2600"/>
    </row>
    <row r="17" spans="1:13" ht="12.2" customHeight="1" x14ac:dyDescent="0.2">
      <c r="A17" s="2601"/>
      <c r="B17" s="2586"/>
      <c r="C17" s="2586"/>
      <c r="D17" s="2586"/>
      <c r="E17" s="2586"/>
      <c r="F17" s="2587"/>
      <c r="G17" s="974" t="s">
        <v>1174</v>
      </c>
      <c r="H17" s="972"/>
      <c r="I17" s="972"/>
      <c r="J17" s="972"/>
      <c r="K17" s="976" t="s">
        <v>1173</v>
      </c>
      <c r="L17" s="969"/>
      <c r="M17" s="962"/>
    </row>
    <row r="18" spans="1:13" ht="12.2" customHeight="1" x14ac:dyDescent="0.2">
      <c r="A18" s="2579"/>
      <c r="B18" s="2580"/>
      <c r="C18" s="2580"/>
      <c r="D18" s="2580"/>
      <c r="E18" s="2580"/>
      <c r="F18" s="2581"/>
      <c r="G18" s="2582" t="str">
        <f>COVER!T21</f>
        <v>309-685-7621</v>
      </c>
      <c r="H18" s="2583"/>
      <c r="I18" s="2583"/>
      <c r="J18" s="2583"/>
      <c r="K18" s="2582" t="str">
        <f>COVER!X21</f>
        <v>309-685-4758</v>
      </c>
      <c r="L18" s="258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24" t="str">
        <f>'Single Audit Cover'!A7</f>
        <v xml:space="preserve">  Mendota Twp HSD 280</v>
      </c>
      <c r="B1" s="2625"/>
      <c r="C1" s="2625"/>
      <c r="D1" s="2625"/>
    </row>
    <row r="2" spans="1:11" s="991" customFormat="1" ht="12.75" x14ac:dyDescent="0.2">
      <c r="A2" s="2626">
        <f>'Single Audit Cover'!E7</f>
        <v>35050280017</v>
      </c>
      <c r="B2" s="2627"/>
      <c r="C2" s="2627"/>
      <c r="D2" s="2627"/>
    </row>
    <row r="3" spans="1:11" s="991" customFormat="1" ht="12.75" x14ac:dyDescent="0.2">
      <c r="A3" s="2624" t="s">
        <v>1496</v>
      </c>
      <c r="B3" s="2625"/>
      <c r="C3" s="2625"/>
      <c r="D3" s="262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29" t="str">
        <f>'Single Audit Cover'!A7</f>
        <v xml:space="preserve">  Mendota Twp HSD 280</v>
      </c>
      <c r="B1" s="2629"/>
      <c r="C1" s="2629"/>
      <c r="D1" s="2629"/>
      <c r="E1" s="2629"/>
    </row>
    <row r="2" spans="1:5" x14ac:dyDescent="0.2">
      <c r="A2" s="2630">
        <f>'Single Audit Cover'!E7</f>
        <v>35050280017</v>
      </c>
      <c r="B2" s="2630"/>
      <c r="C2" s="2630"/>
      <c r="D2" s="2630"/>
      <c r="E2" s="2630"/>
    </row>
    <row r="3" spans="1:5" ht="4.5" customHeight="1" x14ac:dyDescent="0.2"/>
    <row r="4" spans="1:5" x14ac:dyDescent="0.2">
      <c r="A4" s="2629" t="s">
        <v>1234</v>
      </c>
      <c r="B4" s="2629"/>
      <c r="C4" s="2629"/>
      <c r="D4" s="2629"/>
      <c r="E4" s="2629"/>
    </row>
    <row r="5" spans="1:5" x14ac:dyDescent="0.2">
      <c r="A5" s="2632" t="str">
        <f>'Single Audit Cover'!A4</f>
        <v>Year Ending June 30, 2020</v>
      </c>
      <c r="B5" s="2632"/>
      <c r="C5" s="2632"/>
      <c r="D5" s="2632"/>
      <c r="E5" s="2632"/>
    </row>
    <row r="6" spans="1:5" x14ac:dyDescent="0.2">
      <c r="A6" s="2629" t="s">
        <v>1233</v>
      </c>
      <c r="B6" s="2629"/>
      <c r="C6" s="2629"/>
      <c r="D6" s="2629"/>
      <c r="E6" s="2629"/>
    </row>
    <row r="8" spans="1:5" x14ac:dyDescent="0.2">
      <c r="A8" s="1036" t="s">
        <v>1232</v>
      </c>
    </row>
    <row r="10" spans="1:5" x14ac:dyDescent="0.2">
      <c r="A10" s="1037" t="s">
        <v>1231</v>
      </c>
      <c r="B10" s="1038" t="s">
        <v>1230</v>
      </c>
      <c r="C10" s="1038"/>
      <c r="D10" s="1039">
        <f>SUM('Acct Summary 7-8'!C7:K7)</f>
        <v>496648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9053.4599999999991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-8277</v>
      </c>
    </row>
    <row r="19" spans="1:4" ht="13.5" thickBot="1" x14ac:dyDescent="0.25">
      <c r="A19" s="1041" t="s">
        <v>1224</v>
      </c>
      <c r="D19" s="1042">
        <f>SUM(D10:D17)</f>
        <v>497424.46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31"/>
      <c r="B24" s="2631"/>
      <c r="D24" s="1044"/>
    </row>
    <row r="25" spans="1:4" x14ac:dyDescent="0.2">
      <c r="A25" s="2628"/>
      <c r="B25" s="2628"/>
      <c r="D25" s="1044"/>
    </row>
    <row r="26" spans="1:4" x14ac:dyDescent="0.2">
      <c r="A26" s="2628"/>
      <c r="B26" s="2628"/>
      <c r="D26" s="1044"/>
    </row>
    <row r="27" spans="1:4" x14ac:dyDescent="0.2">
      <c r="A27" s="2628"/>
      <c r="B27" s="2628"/>
      <c r="D27" s="1044"/>
    </row>
    <row r="28" spans="1:4" x14ac:dyDescent="0.2">
      <c r="A28" s="2628"/>
      <c r="B28" s="2628"/>
      <c r="D28" s="1044"/>
    </row>
    <row r="29" spans="1:4" x14ac:dyDescent="0.2">
      <c r="A29" s="2628"/>
      <c r="B29" s="2628"/>
      <c r="D29" s="1044"/>
    </row>
    <row r="30" spans="1:4" x14ac:dyDescent="0.2">
      <c r="A30" s="2628"/>
      <c r="B30" s="2628"/>
      <c r="D30" s="1044"/>
    </row>
    <row r="32" spans="1:4" x14ac:dyDescent="0.2">
      <c r="A32" s="1036" t="s">
        <v>1222</v>
      </c>
      <c r="D32" s="1039">
        <f>SUM(D19:D30)</f>
        <v>497424.46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28"/>
      <c r="B40" s="2628"/>
      <c r="D40" s="1044"/>
    </row>
    <row r="41" spans="1:4" x14ac:dyDescent="0.2">
      <c r="A41" s="2628"/>
      <c r="B41" s="2628"/>
      <c r="D41" s="1047"/>
    </row>
    <row r="42" spans="1:4" x14ac:dyDescent="0.2">
      <c r="A42" s="2628"/>
      <c r="B42" s="2628"/>
      <c r="D42" s="1047"/>
    </row>
    <row r="43" spans="1:4" x14ac:dyDescent="0.2">
      <c r="A43" s="2628"/>
      <c r="B43" s="2628"/>
      <c r="D43" s="1047"/>
    </row>
    <row r="44" spans="1:4" x14ac:dyDescent="0.2">
      <c r="A44" s="2628"/>
      <c r="B44" s="2628"/>
      <c r="D44" s="1047"/>
    </row>
    <row r="45" spans="1:4" x14ac:dyDescent="0.2">
      <c r="A45" s="2628"/>
      <c r="B45" s="2628"/>
      <c r="D45" s="1047"/>
    </row>
    <row r="47" spans="1:4" x14ac:dyDescent="0.2">
      <c r="B47" s="1048" t="s">
        <v>1216</v>
      </c>
      <c r="C47" s="1048"/>
      <c r="D47" s="1049">
        <f>SUM(D35:D45)</f>
        <v>0</v>
      </c>
    </row>
    <row r="49" spans="2:4" x14ac:dyDescent="0.2">
      <c r="B49" s="1048" t="s">
        <v>1215</v>
      </c>
      <c r="C49" s="1048"/>
      <c r="D49" s="1049">
        <f>D32-D47</f>
        <v>497424.46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8" t="str">
        <f>'Single Audit Cover'!A7</f>
        <v xml:space="preserve">  Mendota Twp HSD 280</v>
      </c>
      <c r="C1" s="2633"/>
      <c r="D1" s="2633"/>
      <c r="E1" s="2633"/>
      <c r="F1" s="2633"/>
      <c r="G1" s="2633"/>
      <c r="H1" s="2633"/>
      <c r="I1" s="2633"/>
      <c r="J1" s="2633"/>
      <c r="K1" s="2633"/>
      <c r="L1" s="2633"/>
      <c r="M1" s="2633"/>
    </row>
    <row r="2" spans="2:14" ht="15" x14ac:dyDescent="0.2">
      <c r="B2" s="2634">
        <f>'Single Audit Cover'!E7</f>
        <v>35050280017</v>
      </c>
      <c r="C2" s="2634"/>
      <c r="D2" s="2634"/>
      <c r="E2" s="2634"/>
      <c r="F2" s="2634"/>
      <c r="G2" s="2634"/>
      <c r="H2" s="2634"/>
      <c r="I2" s="2634"/>
      <c r="J2" s="2634"/>
      <c r="K2" s="2634"/>
      <c r="L2" s="2634"/>
      <c r="M2" s="2634"/>
      <c r="N2" s="1078"/>
    </row>
    <row r="3" spans="2:14" ht="15" x14ac:dyDescent="0.2">
      <c r="B3" s="2635" t="s">
        <v>1208</v>
      </c>
      <c r="C3" s="2635"/>
      <c r="D3" s="2635"/>
      <c r="E3" s="2635"/>
      <c r="F3" s="2635"/>
      <c r="G3" s="2635"/>
      <c r="H3" s="2635"/>
      <c r="I3" s="2635"/>
      <c r="J3" s="2635"/>
      <c r="K3" s="2635"/>
      <c r="L3" s="2635"/>
      <c r="M3" s="2635"/>
      <c r="N3" s="1078"/>
    </row>
    <row r="4" spans="2:14" ht="15" x14ac:dyDescent="0.2">
      <c r="B4" s="2636" t="str">
        <f>'Single Audit Cover'!A4</f>
        <v>Year Ending June 30, 2020</v>
      </c>
      <c r="C4" s="2636"/>
      <c r="D4" s="2636"/>
      <c r="E4" s="2636"/>
      <c r="F4" s="2636"/>
      <c r="G4" s="2636"/>
      <c r="H4" s="2636"/>
      <c r="I4" s="2636"/>
      <c r="J4" s="2636"/>
      <c r="K4" s="2636"/>
      <c r="L4" s="2636"/>
      <c r="M4" s="2636"/>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38" t="str">
        <f>'Single Audit Cover'!A7</f>
        <v xml:space="preserve">  Mendota Twp HSD 280</v>
      </c>
      <c r="B1" s="2638"/>
      <c r="C1" s="2638"/>
      <c r="D1" s="2638"/>
      <c r="E1" s="2638"/>
      <c r="F1" s="2638"/>
    </row>
    <row r="2" spans="1:7" ht="13.5" customHeight="1" x14ac:dyDescent="0.2">
      <c r="A2" s="2634">
        <f>'Single Audit Cover'!E7</f>
        <v>35050280017</v>
      </c>
      <c r="B2" s="2634"/>
      <c r="C2" s="2634"/>
      <c r="D2" s="2634"/>
      <c r="E2" s="2634"/>
      <c r="F2" s="2634"/>
      <c r="G2" s="1051"/>
    </row>
    <row r="3" spans="1:7" ht="15.75" customHeight="1" x14ac:dyDescent="0.2">
      <c r="A3" s="2639" t="s">
        <v>1260</v>
      </c>
      <c r="B3" s="2639"/>
      <c r="C3" s="2639"/>
      <c r="D3" s="2639"/>
      <c r="E3" s="2639"/>
      <c r="F3" s="2639"/>
    </row>
    <row r="4" spans="1:7" ht="13.5" customHeight="1" x14ac:dyDescent="0.2">
      <c r="A4" s="2640" t="str">
        <f>'Single Audit Cover'!A4</f>
        <v>Year Ending June 30, 2020</v>
      </c>
      <c r="B4" s="2640"/>
      <c r="C4" s="2640"/>
      <c r="D4" s="2640"/>
      <c r="E4" s="2640"/>
      <c r="F4" s="2640"/>
    </row>
    <row r="5" spans="1:7" ht="8.25" customHeight="1" x14ac:dyDescent="0.2">
      <c r="C5" s="295"/>
      <c r="D5" s="295"/>
    </row>
    <row r="6" spans="1:7" ht="13.5" customHeight="1" x14ac:dyDescent="0.2">
      <c r="A6" s="1052" t="s">
        <v>1705</v>
      </c>
      <c r="C6" s="295"/>
      <c r="D6" s="295"/>
    </row>
    <row r="7" spans="1:7" ht="60.95" customHeight="1" x14ac:dyDescent="0.2">
      <c r="A7" s="2637" t="s">
        <v>1706</v>
      </c>
      <c r="B7" s="2637"/>
      <c r="C7" s="2637"/>
      <c r="D7" s="2637"/>
      <c r="E7" s="2637"/>
      <c r="F7" s="263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37" t="s">
        <v>1708</v>
      </c>
      <c r="B13" s="2637"/>
      <c r="C13" s="2637"/>
      <c r="D13" s="2637"/>
      <c r="E13" s="2637"/>
      <c r="F13" s="2637"/>
    </row>
    <row r="14" spans="1:7" ht="9.75" customHeight="1" x14ac:dyDescent="0.2">
      <c r="C14" s="1036"/>
      <c r="D14" s="1036"/>
    </row>
    <row r="15" spans="1:7" ht="13.5" customHeight="1" x14ac:dyDescent="0.2">
      <c r="C15" s="1476" t="s">
        <v>1259</v>
      </c>
      <c r="D15" s="2642" t="s">
        <v>1258</v>
      </c>
      <c r="E15" s="2642"/>
      <c r="F15" s="2642"/>
    </row>
    <row r="16" spans="1:7" ht="13.5" customHeight="1" x14ac:dyDescent="0.2">
      <c r="A16" s="1058"/>
      <c r="B16" s="1052" t="s">
        <v>1257</v>
      </c>
      <c r="C16" s="1476" t="s">
        <v>1256</v>
      </c>
      <c r="D16" s="2643" t="s">
        <v>1571</v>
      </c>
      <c r="E16" s="2643"/>
      <c r="F16" s="2643"/>
    </row>
    <row r="17" spans="1:6" ht="20.45" customHeight="1" x14ac:dyDescent="0.2">
      <c r="A17" s="1059"/>
      <c r="B17" s="1060"/>
      <c r="C17" s="1061"/>
      <c r="D17" s="2641"/>
      <c r="E17" s="2641"/>
      <c r="F17" s="2641"/>
    </row>
    <row r="18" spans="1:6" ht="20.65" customHeight="1" x14ac:dyDescent="0.2">
      <c r="A18" s="1059"/>
      <c r="B18" s="1060"/>
      <c r="C18" s="1061"/>
      <c r="D18" s="2641"/>
      <c r="E18" s="2641"/>
      <c r="F18" s="2641"/>
    </row>
    <row r="19" spans="1:6" ht="20.65" customHeight="1" x14ac:dyDescent="0.2">
      <c r="A19" s="1059"/>
      <c r="B19" s="1060"/>
      <c r="C19" s="1061"/>
      <c r="D19" s="2641"/>
      <c r="E19" s="2641"/>
      <c r="F19" s="2641"/>
    </row>
    <row r="20" spans="1:6" ht="20.65" customHeight="1" x14ac:dyDescent="0.2">
      <c r="A20" s="1059"/>
      <c r="B20" s="1060"/>
      <c r="C20" s="1061"/>
      <c r="D20" s="2641"/>
      <c r="E20" s="2641"/>
      <c r="F20" s="2641"/>
    </row>
    <row r="21" spans="1:6" ht="20.65" customHeight="1" x14ac:dyDescent="0.2">
      <c r="A21" s="1059"/>
      <c r="B21" s="1060"/>
      <c r="C21" s="1061"/>
      <c r="D21" s="2641"/>
      <c r="E21" s="2641"/>
      <c r="F21" s="2641"/>
    </row>
    <row r="22" spans="1:6" ht="20.65" customHeight="1" x14ac:dyDescent="0.2">
      <c r="A22" s="1059"/>
      <c r="B22" s="1060"/>
      <c r="C22" s="1061"/>
      <c r="D22" s="2641"/>
      <c r="E22" s="2641"/>
      <c r="F22" s="2641"/>
    </row>
    <row r="23" spans="1:6" ht="20.65" customHeight="1" x14ac:dyDescent="0.2">
      <c r="A23" s="1059"/>
      <c r="B23" s="1060"/>
      <c r="C23" s="1061"/>
      <c r="D23" s="2641"/>
      <c r="E23" s="2641"/>
      <c r="F23" s="2641"/>
    </row>
    <row r="24" spans="1:6" ht="20.65" customHeight="1" x14ac:dyDescent="0.2">
      <c r="A24" s="1059"/>
      <c r="B24" s="1060"/>
      <c r="C24" s="1061"/>
      <c r="D24" s="2641"/>
      <c r="E24" s="2641"/>
      <c r="F24" s="2641"/>
    </row>
    <row r="25" spans="1:6" ht="20.65" customHeight="1" x14ac:dyDescent="0.2">
      <c r="A25" s="1059"/>
      <c r="B25" s="1060"/>
      <c r="C25" s="1061"/>
      <c r="D25" s="2641"/>
      <c r="E25" s="2641"/>
      <c r="F25" s="2641"/>
    </row>
    <row r="26" spans="1:6" ht="20.65" customHeight="1" x14ac:dyDescent="0.2">
      <c r="A26" s="1059"/>
      <c r="B26" s="1060"/>
      <c r="C26" s="1061"/>
      <c r="D26" s="2641"/>
      <c r="E26" s="2641"/>
      <c r="F26" s="2641"/>
    </row>
    <row r="27" spans="1:6" ht="20.65" customHeight="1" x14ac:dyDescent="0.2">
      <c r="A27" s="1059"/>
      <c r="B27" s="1060"/>
      <c r="C27" s="1061"/>
      <c r="D27" s="2641"/>
      <c r="E27" s="2641"/>
      <c r="F27" s="2641"/>
    </row>
    <row r="28" spans="1:6" ht="20.65" customHeight="1" x14ac:dyDescent="0.2">
      <c r="A28" s="1059"/>
      <c r="B28" s="1060"/>
      <c r="C28" s="1061"/>
      <c r="D28" s="2641"/>
      <c r="E28" s="2641"/>
      <c r="F28" s="2641"/>
    </row>
    <row r="29" spans="1:6" ht="20.65" customHeight="1" x14ac:dyDescent="0.2">
      <c r="A29" s="1059"/>
      <c r="B29" s="1060"/>
      <c r="C29" s="1061"/>
      <c r="D29" s="2641"/>
      <c r="E29" s="2641"/>
      <c r="F29" s="264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45" t="s">
        <v>1709</v>
      </c>
      <c r="B32" s="2645"/>
      <c r="C32" s="2645"/>
      <c r="D32" s="2645"/>
      <c r="E32" s="2645"/>
      <c r="F32" s="264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46">
        <f>+C33+C34</f>
        <v>0</v>
      </c>
      <c r="F34" s="264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48" t="s">
        <v>1573</v>
      </c>
      <c r="C49" s="2648"/>
      <c r="D49" s="2648"/>
      <c r="E49" s="1168"/>
    </row>
    <row r="50" spans="1:5" s="1076" customFormat="1" ht="3.75" customHeight="1" x14ac:dyDescent="0.2">
      <c r="A50" s="1075"/>
      <c r="B50" s="1475"/>
      <c r="C50" s="1475"/>
      <c r="D50" s="1475"/>
      <c r="E50" s="1168"/>
    </row>
    <row r="51" spans="1:5" s="1076" customFormat="1" ht="20.25" customHeight="1" x14ac:dyDescent="0.2">
      <c r="A51" s="1077">
        <v>6</v>
      </c>
      <c r="B51" s="2644" t="s">
        <v>1534</v>
      </c>
      <c r="C51" s="2644"/>
      <c r="D51" s="2644"/>
    </row>
    <row r="52" spans="1:5" ht="14.25" customHeight="1" x14ac:dyDescent="0.2">
      <c r="A52" s="1077"/>
      <c r="B52" s="2644"/>
      <c r="C52" s="2644"/>
      <c r="D52" s="26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3" t="str">
        <f>'Single Audit Cover'!A7</f>
        <v xml:space="preserve">  Mendota Twp HSD 280</v>
      </c>
      <c r="C1" s="2654"/>
      <c r="D1" s="2654"/>
      <c r="E1" s="2654"/>
      <c r="F1" s="2654"/>
      <c r="G1" s="2654"/>
      <c r="H1" s="2654"/>
      <c r="I1" s="2654"/>
      <c r="J1" s="1178"/>
    </row>
    <row r="2" spans="2:10" s="295" customFormat="1" ht="12.75" customHeight="1" x14ac:dyDescent="0.2">
      <c r="B2" s="2655">
        <f>'Single Audit Cover'!E7</f>
        <v>35050280017</v>
      </c>
      <c r="C2" s="2656"/>
      <c r="D2" s="2656"/>
      <c r="E2" s="2656"/>
      <c r="F2" s="2656"/>
      <c r="G2" s="2656"/>
      <c r="H2" s="2656"/>
      <c r="I2" s="2656"/>
      <c r="J2" s="1178"/>
    </row>
    <row r="3" spans="2:10" s="295" customFormat="1" ht="12.75" customHeight="1" x14ac:dyDescent="0.2">
      <c r="B3" s="2657" t="s">
        <v>1274</v>
      </c>
      <c r="C3" s="2658"/>
      <c r="D3" s="2658"/>
      <c r="E3" s="2658"/>
      <c r="F3" s="2658"/>
      <c r="G3" s="2658"/>
      <c r="H3" s="2658"/>
      <c r="I3" s="2658"/>
      <c r="J3" s="1179"/>
    </row>
    <row r="4" spans="2:10" s="295" customFormat="1" ht="12.75" customHeight="1" x14ac:dyDescent="0.2">
      <c r="B4" s="2657" t="str">
        <f>'Single Audit Cover'!A4</f>
        <v>Year Ending June 30, 2020</v>
      </c>
      <c r="C4" s="2658"/>
      <c r="D4" s="2658"/>
      <c r="E4" s="2658"/>
      <c r="F4" s="2658"/>
      <c r="G4" s="2658"/>
      <c r="H4" s="2658"/>
      <c r="I4" s="265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57" t="s">
        <v>1273</v>
      </c>
      <c r="C7" s="2658"/>
      <c r="D7" s="2658"/>
      <c r="E7" s="2658"/>
      <c r="F7" s="2658"/>
      <c r="G7" s="2658"/>
      <c r="H7" s="2658"/>
      <c r="I7" s="265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59"/>
      <c r="D11" s="265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60"/>
      <c r="E29" s="2660"/>
      <c r="F29" s="2660"/>
      <c r="G29" s="2660"/>
      <c r="H29" s="2660"/>
      <c r="I29" s="266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61" t="s">
        <v>1728</v>
      </c>
      <c r="D37" s="2662"/>
      <c r="E37" s="2662"/>
      <c r="F37" s="2663"/>
      <c r="G37" s="2661" t="s">
        <v>1575</v>
      </c>
      <c r="H37" s="2662"/>
      <c r="I37" s="2663"/>
    </row>
    <row r="38" spans="2:9" ht="16.5" customHeight="1" x14ac:dyDescent="0.2">
      <c r="B38" s="1200"/>
      <c r="C38" s="2649"/>
      <c r="D38" s="2650"/>
      <c r="E38" s="2650"/>
      <c r="F38" s="2651"/>
      <c r="G38" s="2664"/>
      <c r="H38" s="2665"/>
      <c r="I38" s="2666"/>
    </row>
    <row r="39" spans="2:9" ht="16.5" customHeight="1" x14ac:dyDescent="0.2">
      <c r="B39" s="1200"/>
      <c r="C39" s="2649"/>
      <c r="D39" s="2650"/>
      <c r="E39" s="2650"/>
      <c r="F39" s="2651"/>
      <c r="G39" s="2652"/>
      <c r="H39" s="2652"/>
      <c r="I39" s="2652"/>
    </row>
    <row r="40" spans="2:9" ht="16.5" customHeight="1" x14ac:dyDescent="0.2">
      <c r="B40" s="1200"/>
      <c r="C40" s="2649"/>
      <c r="D40" s="2650"/>
      <c r="E40" s="2650"/>
      <c r="F40" s="2651"/>
      <c r="G40" s="2652"/>
      <c r="H40" s="2652"/>
      <c r="I40" s="2652"/>
    </row>
    <row r="41" spans="2:9" ht="16.5" customHeight="1" x14ac:dyDescent="0.2">
      <c r="B41" s="1200"/>
      <c r="C41" s="2649"/>
      <c r="D41" s="2650"/>
      <c r="E41" s="2650"/>
      <c r="F41" s="2651"/>
      <c r="G41" s="2652"/>
      <c r="H41" s="2652"/>
      <c r="I41" s="2652"/>
    </row>
    <row r="42" spans="2:9" ht="16.5" customHeight="1" x14ac:dyDescent="0.2">
      <c r="B42" s="1200"/>
      <c r="C42" s="2649"/>
      <c r="D42" s="2650"/>
      <c r="E42" s="2650"/>
      <c r="F42" s="2651"/>
      <c r="G42" s="2652"/>
      <c r="H42" s="2652"/>
      <c r="I42" s="2652"/>
    </row>
    <row r="43" spans="2:9" ht="16.5" customHeight="1" x14ac:dyDescent="0.2">
      <c r="B43" s="1200"/>
      <c r="C43" s="2667" t="s">
        <v>1576</v>
      </c>
      <c r="D43" s="2668"/>
      <c r="E43" s="2668"/>
      <c r="F43" s="2669"/>
      <c r="G43" s="2670">
        <f>SUM(G38:I42)</f>
        <v>0</v>
      </c>
      <c r="H43" s="2670"/>
      <c r="I43" s="2670"/>
    </row>
    <row r="44" spans="2:9" ht="12.75" customHeight="1" x14ac:dyDescent="0.2"/>
    <row r="45" spans="2:9" ht="12.75" customHeight="1" x14ac:dyDescent="0.2">
      <c r="B45" s="1918" t="str">
        <f>"Total Federal Expenditures for 7/1/"&amp;MID('AFR20'!E2,3,2)-1&amp;"-6/30/"&amp;MID('AFR20'!E2,3,2)</f>
        <v>Total Federal Expenditures for 7/1/19-6/30/20</v>
      </c>
      <c r="C45" s="1919"/>
      <c r="D45" s="2671">
        <v>0</v>
      </c>
      <c r="E45" s="267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73"/>
      <c r="F49" s="2673"/>
      <c r="G49" s="267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6D00-CB98-4B67-BC7F-AB513B2C57EC}">
  <dimension ref="A1:M45"/>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1" customWidth="1"/>
    <col min="8" max="8" width="10.5703125" style="294" customWidth="1"/>
    <col min="9" max="9" width="3.42578125" style="204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5" t="str">
        <f>'Single Audit Cover'!A7</f>
        <v xml:space="preserve">  Mendota Twp HSD 280</v>
      </c>
      <c r="C1" s="2675"/>
      <c r="D1" s="2675"/>
      <c r="E1" s="2675"/>
      <c r="F1" s="2675"/>
      <c r="G1" s="2675"/>
      <c r="H1" s="2675"/>
      <c r="I1" s="2675"/>
      <c r="J1" s="2675"/>
      <c r="K1" s="2675"/>
      <c r="L1" s="2037"/>
      <c r="M1" s="2037"/>
    </row>
    <row r="2" spans="1:13" ht="12" customHeight="1" x14ac:dyDescent="0.2">
      <c r="B2" s="2676">
        <f>'Single Audit Cover'!E7</f>
        <v>35050280017</v>
      </c>
      <c r="C2" s="2676"/>
      <c r="D2" s="2676"/>
      <c r="E2" s="2676"/>
      <c r="F2" s="2676"/>
      <c r="G2" s="2676"/>
      <c r="H2" s="2676"/>
      <c r="I2" s="2676"/>
      <c r="J2" s="2676"/>
      <c r="K2" s="2676"/>
      <c r="L2" s="2038"/>
      <c r="M2" s="2039"/>
    </row>
    <row r="3" spans="1:13" ht="10.35" customHeight="1" x14ac:dyDescent="0.2">
      <c r="B3" s="2677" t="s">
        <v>1274</v>
      </c>
      <c r="C3" s="2677"/>
      <c r="D3" s="2677"/>
      <c r="E3" s="2677"/>
      <c r="F3" s="2677"/>
      <c r="G3" s="2677"/>
      <c r="H3" s="2677"/>
      <c r="I3" s="2677"/>
      <c r="J3" s="2677"/>
      <c r="K3" s="2677"/>
      <c r="L3" s="2036"/>
      <c r="M3" s="2036"/>
    </row>
    <row r="4" spans="1:13" ht="14.25" customHeight="1" x14ac:dyDescent="0.2">
      <c r="B4" s="2677" t="s">
        <v>2076</v>
      </c>
      <c r="C4" s="2677"/>
      <c r="D4" s="2677"/>
      <c r="E4" s="2677"/>
      <c r="F4" s="2677"/>
      <c r="G4" s="2677"/>
      <c r="H4" s="2677"/>
      <c r="I4" s="2677"/>
      <c r="J4" s="2677"/>
      <c r="K4" s="2677"/>
      <c r="L4" s="2036"/>
      <c r="M4" s="2036"/>
    </row>
    <row r="5" spans="1:13" ht="7.5" customHeight="1" x14ac:dyDescent="0.2">
      <c r="B5" s="2040" t="s">
        <v>1159</v>
      </c>
      <c r="C5" s="2040"/>
    </row>
    <row r="6" spans="1:13" ht="7.5" customHeight="1" x14ac:dyDescent="0.2">
      <c r="B6" s="2042"/>
      <c r="C6" s="2042"/>
      <c r="D6" s="2043"/>
      <c r="E6" s="2043"/>
      <c r="F6" s="2043"/>
      <c r="G6" s="2044"/>
      <c r="H6" s="2043"/>
      <c r="I6" s="2044"/>
      <c r="J6" s="2043"/>
      <c r="K6" s="2043"/>
    </row>
    <row r="7" spans="1:13" ht="12.75" customHeight="1" x14ac:dyDescent="0.2">
      <c r="A7" s="991"/>
      <c r="B7" s="2677" t="s">
        <v>1285</v>
      </c>
      <c r="C7" s="2677"/>
      <c r="D7" s="2656"/>
      <c r="E7" s="2656"/>
      <c r="F7" s="2656"/>
      <c r="G7" s="2656"/>
      <c r="H7" s="2656"/>
      <c r="I7" s="2656"/>
      <c r="J7" s="2656"/>
      <c r="K7" s="2656"/>
      <c r="L7" s="2045"/>
    </row>
    <row r="8" spans="1:13" ht="7.5" customHeight="1" x14ac:dyDescent="0.2"/>
    <row r="9" spans="1:13" ht="9.6" customHeight="1" x14ac:dyDescent="0.2">
      <c r="B9" s="2043"/>
      <c r="C9" s="2043"/>
      <c r="D9" s="2043"/>
      <c r="E9" s="2043"/>
      <c r="F9" s="2043"/>
      <c r="G9" s="2044"/>
      <c r="H9" s="2043"/>
      <c r="I9" s="2044"/>
      <c r="J9" s="2043"/>
      <c r="K9" s="2043"/>
    </row>
    <row r="10" spans="1:13" ht="16.5" customHeight="1" x14ac:dyDescent="0.2">
      <c r="B10" s="995" t="s">
        <v>1719</v>
      </c>
      <c r="C10" s="2046" t="s">
        <v>2090</v>
      </c>
      <c r="D10" s="1155">
        <v>1</v>
      </c>
      <c r="F10" s="995" t="s">
        <v>1284</v>
      </c>
      <c r="G10" s="1157"/>
      <c r="H10" s="2047" t="s">
        <v>1283</v>
      </c>
      <c r="I10" s="1157" t="s">
        <v>2051</v>
      </c>
      <c r="J10" s="2048" t="s">
        <v>1282</v>
      </c>
    </row>
    <row r="11" spans="1:13" ht="13.5" customHeight="1" x14ac:dyDescent="0.2">
      <c r="I11" s="2049" t="s">
        <v>1281</v>
      </c>
      <c r="K11" s="1161">
        <v>2007</v>
      </c>
    </row>
    <row r="12" spans="1:13" ht="13.5" customHeight="1" x14ac:dyDescent="0.2">
      <c r="B12" s="2040"/>
      <c r="C12" s="2040"/>
    </row>
    <row r="13" spans="1:13" s="991" customFormat="1" ht="13.5" customHeight="1" x14ac:dyDescent="0.2">
      <c r="B13" s="2050" t="s">
        <v>1280</v>
      </c>
      <c r="C13" s="2050"/>
      <c r="D13" s="2051"/>
      <c r="E13" s="2051"/>
      <c r="F13" s="2051"/>
      <c r="G13" s="2052"/>
      <c r="H13" s="2051"/>
      <c r="I13" s="2052"/>
      <c r="J13" s="2051"/>
      <c r="K13" s="2051"/>
    </row>
    <row r="14" spans="1:13" ht="45.75" customHeight="1" x14ac:dyDescent="0.2">
      <c r="B14" s="2674" t="s">
        <v>2068</v>
      </c>
      <c r="C14" s="2674"/>
      <c r="D14" s="2674"/>
      <c r="E14" s="2674"/>
      <c r="F14" s="2674"/>
      <c r="G14" s="2674"/>
      <c r="H14" s="2674"/>
      <c r="I14" s="2674"/>
      <c r="J14" s="2674"/>
      <c r="K14" s="2674"/>
    </row>
    <row r="15" spans="1:13" ht="4.5" customHeight="1" x14ac:dyDescent="0.2">
      <c r="B15" s="865"/>
      <c r="C15" s="865"/>
    </row>
    <row r="16" spans="1:13" s="991" customFormat="1" ht="13.5" customHeight="1" x14ac:dyDescent="0.2">
      <c r="B16" s="2050" t="s">
        <v>1279</v>
      </c>
      <c r="C16" s="2050"/>
      <c r="D16" s="2051"/>
      <c r="E16" s="2051"/>
      <c r="F16" s="2051"/>
      <c r="G16" s="2052"/>
      <c r="H16" s="2051"/>
      <c r="I16" s="2052"/>
      <c r="J16" s="2051"/>
      <c r="K16" s="2051"/>
    </row>
    <row r="17" spans="2:11" ht="45.75" customHeight="1" x14ac:dyDescent="0.2">
      <c r="B17" s="2674" t="s">
        <v>2063</v>
      </c>
      <c r="C17" s="2674"/>
      <c r="D17" s="2674"/>
      <c r="E17" s="2674"/>
      <c r="F17" s="2674"/>
      <c r="G17" s="2674"/>
      <c r="H17" s="2674"/>
      <c r="I17" s="2674"/>
      <c r="J17" s="2674"/>
      <c r="K17" s="2674"/>
    </row>
    <row r="18" spans="2:11" ht="4.5" customHeight="1" x14ac:dyDescent="0.2">
      <c r="B18" s="865"/>
      <c r="C18" s="865"/>
    </row>
    <row r="19" spans="2:11" s="991" customFormat="1" ht="13.5" customHeight="1" x14ac:dyDescent="0.2">
      <c r="B19" s="2050" t="s">
        <v>1720</v>
      </c>
      <c r="C19" s="2050"/>
      <c r="D19" s="2051"/>
      <c r="E19" s="2051"/>
      <c r="F19" s="2051"/>
      <c r="G19" s="2052"/>
      <c r="H19" s="2051"/>
      <c r="I19" s="2052"/>
      <c r="J19" s="2051"/>
      <c r="K19" s="2051"/>
    </row>
    <row r="20" spans="2:11" ht="45.75" customHeight="1" x14ac:dyDescent="0.2">
      <c r="B20" s="2678" t="s">
        <v>2091</v>
      </c>
      <c r="C20" s="2678"/>
      <c r="D20" s="2674"/>
      <c r="E20" s="2674"/>
      <c r="F20" s="2674"/>
      <c r="G20" s="2674"/>
      <c r="H20" s="2674"/>
      <c r="I20" s="2674"/>
      <c r="J20" s="2674"/>
      <c r="K20" s="2674"/>
    </row>
    <row r="21" spans="2:11" ht="4.5" customHeight="1" x14ac:dyDescent="0.2">
      <c r="B21" s="2053"/>
      <c r="C21" s="2053"/>
    </row>
    <row r="22" spans="2:11" ht="13.5" customHeight="1" x14ac:dyDescent="0.2">
      <c r="B22" s="2050" t="s">
        <v>1278</v>
      </c>
      <c r="C22" s="2050"/>
      <c r="D22" s="2043"/>
      <c r="E22" s="2043"/>
      <c r="F22" s="2043"/>
      <c r="G22" s="2044"/>
      <c r="H22" s="2043"/>
      <c r="I22" s="2044"/>
      <c r="J22" s="2043"/>
      <c r="K22" s="2043"/>
    </row>
    <row r="23" spans="2:11" ht="45" customHeight="1" x14ac:dyDescent="0.2">
      <c r="B23" s="2674" t="s">
        <v>2064</v>
      </c>
      <c r="C23" s="2674"/>
      <c r="D23" s="2674"/>
      <c r="E23" s="2674"/>
      <c r="F23" s="2674"/>
      <c r="G23" s="2674"/>
      <c r="H23" s="2674"/>
      <c r="I23" s="2674"/>
      <c r="J23" s="2674"/>
      <c r="K23" s="2674"/>
    </row>
    <row r="24" spans="2:11" ht="4.5" customHeight="1" x14ac:dyDescent="0.2">
      <c r="B24" s="865"/>
      <c r="C24" s="865"/>
    </row>
    <row r="25" spans="2:11" ht="13.5" customHeight="1" x14ac:dyDescent="0.2">
      <c r="B25" s="2050" t="s">
        <v>1277</v>
      </c>
      <c r="C25" s="2050"/>
      <c r="D25" s="2043"/>
      <c r="E25" s="2043"/>
      <c r="F25" s="2043"/>
      <c r="G25" s="2044"/>
      <c r="H25" s="2043"/>
      <c r="I25" s="2044"/>
      <c r="J25" s="2043"/>
      <c r="K25" s="2043"/>
    </row>
    <row r="26" spans="2:11" ht="45.75" customHeight="1" x14ac:dyDescent="0.2">
      <c r="B26" s="2674" t="s">
        <v>2069</v>
      </c>
      <c r="C26" s="2674"/>
      <c r="D26" s="2674"/>
      <c r="E26" s="2674"/>
      <c r="F26" s="2674"/>
      <c r="G26" s="2674"/>
      <c r="H26" s="2674"/>
      <c r="I26" s="2674"/>
      <c r="J26" s="2674"/>
      <c r="K26" s="2674"/>
    </row>
    <row r="27" spans="2:11" ht="4.5" customHeight="1" x14ac:dyDescent="0.2">
      <c r="B27" s="865"/>
      <c r="C27" s="865"/>
    </row>
    <row r="28" spans="2:11" ht="13.5" customHeight="1" x14ac:dyDescent="0.2">
      <c r="B28" s="2054" t="s">
        <v>1276</v>
      </c>
      <c r="C28" s="2054"/>
      <c r="D28" s="2043"/>
      <c r="E28" s="2043"/>
      <c r="F28" s="2043"/>
      <c r="G28" s="2044"/>
      <c r="H28" s="2043"/>
      <c r="I28" s="2044"/>
      <c r="J28" s="2043"/>
      <c r="K28" s="2043"/>
    </row>
    <row r="29" spans="2:11" ht="45.75" customHeight="1" x14ac:dyDescent="0.2">
      <c r="B29" s="2674" t="s">
        <v>2070</v>
      </c>
      <c r="C29" s="2674"/>
      <c r="D29" s="2674"/>
      <c r="E29" s="2674"/>
      <c r="F29" s="2674"/>
      <c r="G29" s="2674"/>
      <c r="H29" s="2674"/>
      <c r="I29" s="2674"/>
      <c r="J29" s="2674"/>
      <c r="K29" s="2674"/>
    </row>
    <row r="30" spans="2:11" ht="4.5" customHeight="1" x14ac:dyDescent="0.2">
      <c r="B30" s="865"/>
      <c r="C30" s="865"/>
    </row>
    <row r="31" spans="2:11" ht="13.5" customHeight="1" x14ac:dyDescent="0.2">
      <c r="B31" s="2055" t="s">
        <v>1721</v>
      </c>
      <c r="C31" s="2055"/>
      <c r="D31" s="2042"/>
      <c r="E31" s="2043"/>
      <c r="F31" s="2043"/>
      <c r="G31" s="2044"/>
      <c r="H31" s="2043"/>
      <c r="I31" s="2044"/>
      <c r="J31" s="2043"/>
      <c r="K31" s="2043"/>
    </row>
    <row r="32" spans="2:11" ht="45.75" customHeight="1" x14ac:dyDescent="0.2">
      <c r="B32" s="2674" t="s">
        <v>2065</v>
      </c>
      <c r="C32" s="2674"/>
      <c r="D32" s="2674"/>
      <c r="E32" s="2674"/>
      <c r="F32" s="2674"/>
      <c r="G32" s="2674"/>
      <c r="H32" s="2674"/>
      <c r="I32" s="2674"/>
      <c r="J32" s="2674"/>
      <c r="K32" s="2674"/>
    </row>
    <row r="33" spans="1:13" ht="4.5" customHeight="1" x14ac:dyDescent="0.2">
      <c r="B33" s="865"/>
      <c r="C33" s="865"/>
    </row>
    <row r="34" spans="1:13" ht="11.1" customHeight="1" x14ac:dyDescent="0.2">
      <c r="B34" s="2060" t="s">
        <v>2071</v>
      </c>
      <c r="C34" s="2061"/>
      <c r="D34" s="2062"/>
      <c r="E34" s="2062"/>
      <c r="F34" s="2062"/>
      <c r="G34" s="2063"/>
      <c r="H34" s="2062"/>
      <c r="I34" s="2063"/>
      <c r="J34" s="2062"/>
      <c r="K34" s="2064"/>
    </row>
    <row r="35" spans="1:13" ht="13.5" customHeight="1" x14ac:dyDescent="0.2">
      <c r="B35" s="2065" t="s">
        <v>2072</v>
      </c>
      <c r="C35" s="2066"/>
      <c r="D35" s="2067"/>
      <c r="E35" s="2068"/>
      <c r="F35" s="2069" t="s">
        <v>2073</v>
      </c>
      <c r="G35" s="2070"/>
      <c r="H35" s="2071"/>
      <c r="I35" s="2072"/>
      <c r="J35" s="2073"/>
      <c r="K35" s="2074"/>
    </row>
    <row r="36" spans="1:13" ht="13.5" customHeight="1" x14ac:dyDescent="0.2">
      <c r="B36" s="2065" t="s">
        <v>2074</v>
      </c>
      <c r="C36" s="2066"/>
      <c r="D36" s="2075"/>
      <c r="E36" s="2071"/>
      <c r="F36" s="2076" t="s">
        <v>2075</v>
      </c>
      <c r="G36" s="2070"/>
      <c r="H36" s="2071"/>
      <c r="I36" s="2072"/>
      <c r="J36" s="2073"/>
      <c r="K36" s="2074"/>
      <c r="M36" s="2077"/>
    </row>
    <row r="37" spans="1:13" ht="11.45" customHeight="1" x14ac:dyDescent="0.2">
      <c r="B37" s="2078"/>
      <c r="C37" s="2073"/>
      <c r="D37" s="2073"/>
      <c r="E37" s="2073"/>
      <c r="F37" s="2073"/>
      <c r="G37" s="2079"/>
      <c r="H37" s="2073"/>
      <c r="I37" s="2079"/>
      <c r="J37" s="2073"/>
      <c r="K37" s="2080"/>
    </row>
    <row r="38" spans="1:13" ht="8.25" customHeight="1" x14ac:dyDescent="0.2">
      <c r="A38" s="2056"/>
      <c r="B38" s="2056"/>
      <c r="C38" s="2056"/>
      <c r="D38" s="2056"/>
      <c r="E38" s="2056"/>
      <c r="F38" s="2056"/>
      <c r="G38" s="2057"/>
      <c r="H38" s="2056"/>
      <c r="I38" s="2057"/>
      <c r="J38" s="2056"/>
      <c r="K38" s="2056"/>
    </row>
    <row r="39" spans="1:13" ht="11.85" customHeight="1" x14ac:dyDescent="0.2">
      <c r="B39" s="2058" t="s">
        <v>1722</v>
      </c>
      <c r="C39" s="2058"/>
    </row>
    <row r="40" spans="1:13" ht="9.6" customHeight="1" x14ac:dyDescent="0.2">
      <c r="B40" s="998" t="s">
        <v>2131</v>
      </c>
      <c r="C40" s="998"/>
    </row>
    <row r="41" spans="1:13" ht="9.6" customHeight="1" x14ac:dyDescent="0.2">
      <c r="B41" s="998" t="s">
        <v>2130</v>
      </c>
      <c r="C41" s="998"/>
    </row>
    <row r="42" spans="1:13" ht="11.85" customHeight="1" x14ac:dyDescent="0.2">
      <c r="B42" s="2058" t="s">
        <v>1723</v>
      </c>
      <c r="C42" s="2058"/>
    </row>
    <row r="43" spans="1:13" ht="9.6" customHeight="1" x14ac:dyDescent="0.2">
      <c r="B43" s="998" t="s">
        <v>1275</v>
      </c>
      <c r="C43" s="998"/>
      <c r="M43" s="2059"/>
    </row>
    <row r="44" spans="1:13" ht="12.6" customHeight="1" x14ac:dyDescent="0.2">
      <c r="B44" s="2058" t="s">
        <v>1724</v>
      </c>
      <c r="C44" s="2058"/>
      <c r="M44" s="2059"/>
    </row>
    <row r="45" spans="1:13" ht="9.6" customHeight="1" x14ac:dyDescent="0.2">
      <c r="B45" s="998"/>
      <c r="C45" s="998"/>
      <c r="M45" s="2059"/>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3" t="str">
        <f>'Single Audit Cover'!A7</f>
        <v xml:space="preserve">  Mendota Twp HSD 280</v>
      </c>
      <c r="C1" s="2653"/>
      <c r="D1" s="2653"/>
      <c r="E1" s="2653"/>
      <c r="F1" s="2653"/>
      <c r="G1" s="2653"/>
      <c r="H1" s="2653"/>
      <c r="I1" s="2653"/>
      <c r="J1" s="2653"/>
      <c r="K1" s="2653"/>
      <c r="L1" s="1144"/>
      <c r="M1" s="1144"/>
    </row>
    <row r="2" spans="1:13" ht="12" customHeight="1" x14ac:dyDescent="0.2">
      <c r="B2" s="2655">
        <f>'Single Audit Cover'!E7</f>
        <v>35050280017</v>
      </c>
      <c r="C2" s="2655"/>
      <c r="D2" s="2655"/>
      <c r="E2" s="2655"/>
      <c r="F2" s="2655"/>
      <c r="G2" s="2655"/>
      <c r="H2" s="2655"/>
      <c r="I2" s="2655"/>
      <c r="J2" s="2655"/>
      <c r="K2" s="2655"/>
      <c r="L2" s="1145"/>
      <c r="M2" s="1146"/>
    </row>
    <row r="3" spans="1:13" ht="10.35" customHeight="1" x14ac:dyDescent="0.2">
      <c r="B3" s="2680" t="s">
        <v>1274</v>
      </c>
      <c r="C3" s="2680"/>
      <c r="D3" s="2680"/>
      <c r="E3" s="2680"/>
      <c r="F3" s="2680"/>
      <c r="G3" s="2680"/>
      <c r="H3" s="2680"/>
      <c r="I3" s="2680"/>
      <c r="J3" s="2680"/>
      <c r="K3" s="2680"/>
      <c r="L3" s="1147"/>
      <c r="M3" s="1147"/>
    </row>
    <row r="4" spans="1:13" ht="14.25" customHeight="1" x14ac:dyDescent="0.2">
      <c r="B4" s="2681" t="str">
        <f>'Single Audit Cover'!A4</f>
        <v>Year Ending June 30, 2020</v>
      </c>
      <c r="C4" s="2681"/>
      <c r="D4" s="2681"/>
      <c r="E4" s="2681"/>
      <c r="F4" s="2681"/>
      <c r="G4" s="2681"/>
      <c r="H4" s="2681"/>
      <c r="I4" s="2681"/>
      <c r="J4" s="2681"/>
      <c r="K4" s="268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1" t="s">
        <v>1285</v>
      </c>
      <c r="C7" s="2681"/>
      <c r="D7" s="2682"/>
      <c r="E7" s="2682"/>
      <c r="F7" s="2682"/>
      <c r="G7" s="2682"/>
      <c r="H7" s="2682"/>
      <c r="I7" s="2682"/>
      <c r="J7" s="2682"/>
      <c r="K7" s="268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4"/>
      <c r="C14" s="2674"/>
      <c r="D14" s="2674"/>
      <c r="E14" s="2674"/>
      <c r="F14" s="2674"/>
      <c r="G14" s="2674"/>
      <c r="H14" s="2674"/>
      <c r="I14" s="2674"/>
      <c r="J14" s="2674"/>
      <c r="K14" s="267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4"/>
      <c r="C17" s="2674"/>
      <c r="D17" s="2674"/>
      <c r="E17" s="2674"/>
      <c r="F17" s="2674"/>
      <c r="G17" s="2674"/>
      <c r="H17" s="2674"/>
      <c r="I17" s="2674"/>
      <c r="J17" s="2674"/>
      <c r="K17" s="267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78"/>
      <c r="C20" s="2678"/>
      <c r="D20" s="2674"/>
      <c r="E20" s="2674"/>
      <c r="F20" s="2674"/>
      <c r="G20" s="2674"/>
      <c r="H20" s="2674"/>
      <c r="I20" s="2674"/>
      <c r="J20" s="2674"/>
      <c r="K20" s="267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4"/>
      <c r="C23" s="2674"/>
      <c r="D23" s="2674"/>
      <c r="E23" s="2674"/>
      <c r="F23" s="2674"/>
      <c r="G23" s="2674"/>
      <c r="H23" s="2674"/>
      <c r="I23" s="2674"/>
      <c r="J23" s="2674"/>
      <c r="K23" s="267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4"/>
      <c r="C26" s="2674"/>
      <c r="D26" s="2674"/>
      <c r="E26" s="2674"/>
      <c r="F26" s="2674"/>
      <c r="G26" s="2674"/>
      <c r="H26" s="2674"/>
      <c r="I26" s="2674"/>
      <c r="J26" s="2674"/>
      <c r="K26" s="267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79"/>
      <c r="C29" s="2679"/>
      <c r="D29" s="2674"/>
      <c r="E29" s="2674"/>
      <c r="F29" s="2674"/>
      <c r="G29" s="2674"/>
      <c r="H29" s="2674"/>
      <c r="I29" s="2674"/>
      <c r="J29" s="2674"/>
      <c r="K29" s="267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79"/>
      <c r="C32" s="2679"/>
      <c r="D32" s="2674"/>
      <c r="E32" s="2674"/>
      <c r="F32" s="2674"/>
      <c r="G32" s="2674"/>
      <c r="H32" s="2674"/>
      <c r="I32" s="2674"/>
      <c r="J32" s="2674"/>
      <c r="K32" s="267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3" t="str">
        <f>'Single Audit Cover'!A7</f>
        <v xml:space="preserve">  Mendota Twp HSD 280</v>
      </c>
      <c r="C1" s="2683"/>
      <c r="D1" s="2683"/>
      <c r="E1" s="2683"/>
      <c r="F1" s="2683"/>
      <c r="G1" s="2683"/>
      <c r="H1" s="2683"/>
      <c r="I1" s="2683"/>
      <c r="J1" s="2683"/>
      <c r="K1" s="2683"/>
      <c r="L1" s="1221"/>
    </row>
    <row r="2" spans="1:12" ht="12.75" customHeight="1" x14ac:dyDescent="0.2">
      <c r="B2" s="2684">
        <f>'Single Audit Cover'!E7</f>
        <v>35050280017</v>
      </c>
      <c r="C2" s="2684"/>
      <c r="D2" s="2684"/>
      <c r="E2" s="2684"/>
      <c r="F2" s="2684"/>
      <c r="G2" s="2684"/>
      <c r="H2" s="2684"/>
      <c r="I2" s="2684"/>
      <c r="J2" s="2684"/>
      <c r="K2" s="2684"/>
      <c r="L2" s="1222"/>
    </row>
    <row r="3" spans="1:12" ht="12.75" customHeight="1" x14ac:dyDescent="0.2">
      <c r="B3" s="2680" t="s">
        <v>1274</v>
      </c>
      <c r="C3" s="2680"/>
      <c r="D3" s="2680"/>
      <c r="E3" s="2680"/>
      <c r="F3" s="2680"/>
      <c r="G3" s="2680"/>
      <c r="H3" s="2680"/>
      <c r="I3" s="2680"/>
      <c r="J3" s="2680"/>
      <c r="K3" s="2680"/>
      <c r="L3" s="1147"/>
    </row>
    <row r="4" spans="1:12" ht="12.75" customHeight="1" x14ac:dyDescent="0.2">
      <c r="B4" s="2680" t="str">
        <f>'Single Audit Cover'!A4</f>
        <v>Year Ending June 30, 2020</v>
      </c>
      <c r="C4" s="2680"/>
      <c r="D4" s="2680"/>
      <c r="E4" s="2680"/>
      <c r="F4" s="2680"/>
      <c r="G4" s="2680"/>
      <c r="H4" s="2680"/>
      <c r="I4" s="2680"/>
      <c r="J4" s="2680"/>
      <c r="K4" s="2680"/>
      <c r="L4" s="1147"/>
    </row>
    <row r="5" spans="1:12" ht="5.25" customHeight="1" x14ac:dyDescent="0.2">
      <c r="B5" s="1036" t="s">
        <v>1159</v>
      </c>
      <c r="C5" s="1036"/>
      <c r="L5" s="300"/>
    </row>
    <row r="6" spans="1:12" ht="30.75" customHeight="1" x14ac:dyDescent="0.2">
      <c r="A6" s="300"/>
      <c r="B6" s="2685" t="s">
        <v>1297</v>
      </c>
      <c r="C6" s="2685"/>
      <c r="D6" s="2685"/>
      <c r="E6" s="2685"/>
      <c r="F6" s="2685"/>
      <c r="G6" s="2685"/>
      <c r="H6" s="2685"/>
      <c r="I6" s="2685"/>
      <c r="J6" s="2685"/>
      <c r="K6" s="268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60"/>
      <c r="G12" s="2660"/>
      <c r="H12" s="2660"/>
      <c r="I12" s="2660"/>
      <c r="J12" s="2660"/>
      <c r="K12" s="266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86"/>
      <c r="E14" s="2686"/>
      <c r="F14" s="2686"/>
      <c r="H14" s="1230" t="s">
        <v>1292</v>
      </c>
      <c r="I14" s="2687"/>
      <c r="J14" s="2687"/>
      <c r="K14" s="268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87"/>
      <c r="E16" s="2687"/>
      <c r="F16" s="2687"/>
      <c r="G16" s="2687"/>
      <c r="H16" s="2687"/>
      <c r="I16" s="2687"/>
      <c r="J16" s="2687"/>
      <c r="K16" s="2687"/>
      <c r="L16" s="300"/>
    </row>
    <row r="17" spans="2:12" ht="13.5" customHeight="1" x14ac:dyDescent="0.2">
      <c r="B17" s="1156" t="s">
        <v>1290</v>
      </c>
      <c r="C17" s="1156"/>
      <c r="D17" s="2688"/>
      <c r="E17" s="2688"/>
      <c r="F17" s="2688"/>
      <c r="G17" s="2688"/>
      <c r="H17" s="2688"/>
      <c r="I17" s="2688"/>
      <c r="J17" s="2688"/>
      <c r="K17" s="268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74"/>
      <c r="C20" s="2674"/>
      <c r="D20" s="2674"/>
      <c r="E20" s="2674"/>
      <c r="F20" s="2674"/>
      <c r="G20" s="2674"/>
      <c r="H20" s="2674"/>
      <c r="I20" s="2674"/>
      <c r="J20" s="2674"/>
      <c r="K20" s="267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74"/>
      <c r="C23" s="2674"/>
      <c r="D23" s="2674"/>
      <c r="E23" s="2674"/>
      <c r="F23" s="2674"/>
      <c r="G23" s="2674"/>
      <c r="H23" s="2674"/>
      <c r="I23" s="2674"/>
      <c r="J23" s="2674"/>
      <c r="K23" s="267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74"/>
      <c r="C26" s="2674"/>
      <c r="D26" s="2674"/>
      <c r="E26" s="2674"/>
      <c r="F26" s="2674"/>
      <c r="G26" s="2674"/>
      <c r="H26" s="2674"/>
      <c r="I26" s="2674"/>
      <c r="J26" s="2674"/>
      <c r="K26" s="267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74"/>
      <c r="C29" s="2674"/>
      <c r="D29" s="2674"/>
      <c r="E29" s="2674"/>
      <c r="F29" s="2674"/>
      <c r="G29" s="2674"/>
      <c r="H29" s="2674"/>
      <c r="I29" s="2674"/>
      <c r="J29" s="2674"/>
      <c r="K29" s="267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74"/>
      <c r="C32" s="2674"/>
      <c r="D32" s="2674"/>
      <c r="E32" s="2674"/>
      <c r="F32" s="2674"/>
      <c r="G32" s="2674"/>
      <c r="H32" s="2674"/>
      <c r="I32" s="2674"/>
      <c r="J32" s="2674"/>
      <c r="K32" s="267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74"/>
      <c r="C35" s="2674"/>
      <c r="D35" s="2674"/>
      <c r="E35" s="2674"/>
      <c r="F35" s="2674"/>
      <c r="G35" s="2674"/>
      <c r="H35" s="2674"/>
      <c r="I35" s="2674"/>
      <c r="J35" s="2674"/>
      <c r="K35" s="267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74"/>
      <c r="C38" s="2674"/>
      <c r="D38" s="2674"/>
      <c r="E38" s="2674"/>
      <c r="F38" s="2674"/>
      <c r="G38" s="2674"/>
      <c r="H38" s="2674"/>
      <c r="I38" s="2674"/>
      <c r="J38" s="2674"/>
      <c r="K38" s="267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74"/>
      <c r="C41" s="2674"/>
      <c r="D41" s="2674"/>
      <c r="E41" s="2674"/>
      <c r="F41" s="2674"/>
      <c r="G41" s="2674"/>
      <c r="H41" s="2674"/>
      <c r="I41" s="2674"/>
      <c r="J41" s="2674"/>
      <c r="K41" s="267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53" t="str">
        <f>'Single Audit Cover'!A7</f>
        <v xml:space="preserve">  Mendota Twp HSD 280</v>
      </c>
      <c r="C1" s="2653"/>
      <c r="D1" s="2653"/>
      <c r="E1" s="1240"/>
    </row>
    <row r="2" spans="2:5" s="1058" customFormat="1" ht="12.75" customHeight="1" x14ac:dyDescent="0.2">
      <c r="B2" s="2655">
        <f>'Single Audit Cover'!E7</f>
        <v>35050280017</v>
      </c>
      <c r="C2" s="2655"/>
      <c r="D2" s="2655"/>
      <c r="E2" s="1241"/>
    </row>
    <row r="3" spans="2:5" ht="12.75" customHeight="1" x14ac:dyDescent="0.2">
      <c r="B3" s="2680" t="s">
        <v>1743</v>
      </c>
      <c r="C3" s="2680"/>
      <c r="D3" s="2680"/>
      <c r="E3" s="1050"/>
    </row>
    <row r="4" spans="2:5" s="1058" customFormat="1" ht="12.75" customHeight="1" x14ac:dyDescent="0.2">
      <c r="B4" s="2689" t="str">
        <f>'Single Audit Cover'!A4</f>
        <v>Year Ending June 30, 2020</v>
      </c>
      <c r="C4" s="2689"/>
      <c r="D4" s="268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2060</v>
      </c>
      <c r="C7" s="302" t="s">
        <v>2061</v>
      </c>
      <c r="D7" s="302" t="s">
        <v>2062</v>
      </c>
      <c r="E7" s="302"/>
    </row>
    <row r="8" spans="2:5" ht="13.5" customHeight="1" x14ac:dyDescent="0.2">
      <c r="B8" s="1245" t="s">
        <v>2066</v>
      </c>
      <c r="C8" s="302" t="s">
        <v>2132</v>
      </c>
      <c r="D8" s="302" t="s">
        <v>2067</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A1B3-8FC1-4359-B78E-85CE8FC0A9FF}">
  <dimension ref="B1:L70"/>
  <sheetViews>
    <sheetView showGridLines="0" zoomScale="110" zoomScaleNormal="110" zoomScaleSheetLayoutView="100" workbookViewId="0"/>
  </sheetViews>
  <sheetFormatPr defaultColWidth="9.140625" defaultRowHeight="12.75" x14ac:dyDescent="0.2"/>
  <cols>
    <col min="1" max="1" width="1.5703125" style="2082" customWidth="1"/>
    <col min="2" max="2" width="11.28515625" style="2082" customWidth="1"/>
    <col min="3" max="3" width="6.42578125" style="2082" customWidth="1"/>
    <col min="4" max="4" width="5.42578125" style="2082" customWidth="1"/>
    <col min="5" max="5" width="74.7109375" style="2082" customWidth="1"/>
    <col min="6" max="6" width="1.5703125" style="2082" customWidth="1"/>
    <col min="7" max="8" width="2.42578125" style="2082" customWidth="1"/>
    <col min="9" max="9" width="9.28515625" style="2082" customWidth="1"/>
    <col min="10" max="10" width="14.42578125" style="2082" customWidth="1"/>
    <col min="11" max="11" width="7.28515625" style="2082" customWidth="1"/>
    <col min="12" max="12" width="3.140625" style="2082" customWidth="1"/>
    <col min="13" max="16384" width="9.140625" style="2082"/>
  </cols>
  <sheetData>
    <row r="1" spans="2:12" ht="13.5" customHeight="1" x14ac:dyDescent="0.2">
      <c r="B1" s="2691" t="str">
        <f>'Finding 2020-001'!B1</f>
        <v xml:space="preserve">  Mendota Twp HSD 280</v>
      </c>
      <c r="C1" s="2691"/>
      <c r="D1" s="2691"/>
      <c r="E1" s="2691"/>
      <c r="F1" s="2081"/>
      <c r="G1" s="2081"/>
      <c r="H1" s="2081"/>
      <c r="I1" s="2081"/>
      <c r="J1" s="2081"/>
      <c r="K1" s="2081"/>
      <c r="L1" s="2081"/>
    </row>
    <row r="2" spans="2:12" ht="13.5" customHeight="1" x14ac:dyDescent="0.2">
      <c r="B2" s="2692">
        <f>'Single Audit Cover'!E7</f>
        <v>35050280017</v>
      </c>
      <c r="C2" s="2692"/>
      <c r="D2" s="2692"/>
      <c r="E2" s="2692"/>
      <c r="F2" s="2083"/>
      <c r="G2" s="2083"/>
      <c r="H2" s="2083"/>
      <c r="I2" s="2083"/>
      <c r="J2" s="2083"/>
      <c r="K2" s="2083"/>
      <c r="L2" s="2083"/>
    </row>
    <row r="3" spans="2:12" ht="13.5" customHeight="1" x14ac:dyDescent="0.2">
      <c r="B3" s="2693" t="s">
        <v>2077</v>
      </c>
      <c r="C3" s="2693"/>
      <c r="D3" s="2693"/>
      <c r="E3" s="2693"/>
      <c r="F3" s="2084"/>
      <c r="G3" s="2084"/>
      <c r="H3" s="2084"/>
      <c r="I3" s="2084"/>
      <c r="J3" s="2084"/>
      <c r="K3" s="2084"/>
      <c r="L3" s="2084"/>
    </row>
    <row r="4" spans="2:12" ht="13.5" customHeight="1" x14ac:dyDescent="0.2">
      <c r="B4" s="2694" t="str">
        <f>'Single Audit Cover'!A4</f>
        <v>Year Ending June 30, 2020</v>
      </c>
      <c r="C4" s="2694"/>
      <c r="D4" s="2694"/>
      <c r="E4" s="2694"/>
      <c r="F4" s="2085"/>
      <c r="G4" s="2085"/>
      <c r="H4" s="2085"/>
      <c r="I4" s="2085"/>
      <c r="J4" s="2085"/>
      <c r="K4" s="2085"/>
      <c r="L4" s="2085"/>
    </row>
    <row r="5" spans="2:12" ht="29.85" customHeight="1" x14ac:dyDescent="0.2"/>
    <row r="6" spans="2:12" ht="13.5" customHeight="1" x14ac:dyDescent="0.2">
      <c r="B6" s="2086" t="s">
        <v>2078</v>
      </c>
      <c r="C6" s="2086"/>
      <c r="D6" s="2087"/>
      <c r="E6" s="2088"/>
      <c r="F6" s="2088"/>
      <c r="G6" s="2089"/>
      <c r="H6" s="2089"/>
      <c r="I6" s="2089"/>
    </row>
    <row r="7" spans="2:12" ht="13.5" customHeight="1" x14ac:dyDescent="0.2">
      <c r="B7" s="2082" t="s">
        <v>1159</v>
      </c>
    </row>
    <row r="8" spans="2:12" ht="13.5" customHeight="1" x14ac:dyDescent="0.2">
      <c r="B8" s="2090" t="s">
        <v>2079</v>
      </c>
      <c r="C8" s="2091" t="s">
        <v>2090</v>
      </c>
      <c r="D8" s="2092">
        <v>1</v>
      </c>
    </row>
    <row r="9" spans="2:12" ht="13.5" customHeight="1" x14ac:dyDescent="0.2">
      <c r="B9" s="2093"/>
      <c r="C9" s="2093"/>
      <c r="D9" s="2093"/>
    </row>
    <row r="10" spans="2:12" ht="13.5" customHeight="1" x14ac:dyDescent="0.2">
      <c r="B10" s="2090" t="s">
        <v>2080</v>
      </c>
      <c r="C10" s="2090"/>
    </row>
    <row r="11" spans="2:12" ht="66.75" customHeight="1" x14ac:dyDescent="0.2">
      <c r="B11" s="2690" t="s">
        <v>2081</v>
      </c>
      <c r="C11" s="2690"/>
      <c r="D11" s="2690"/>
      <c r="E11" s="2690"/>
    </row>
    <row r="12" spans="2:12" ht="13.5" customHeight="1" x14ac:dyDescent="0.2"/>
    <row r="13" spans="2:12" ht="13.5" customHeight="1" x14ac:dyDescent="0.2">
      <c r="B13" s="2090" t="s">
        <v>2082</v>
      </c>
      <c r="C13" s="2090"/>
    </row>
    <row r="14" spans="2:12" ht="76.5" customHeight="1" x14ac:dyDescent="0.2">
      <c r="B14" s="2690" t="s">
        <v>2083</v>
      </c>
      <c r="C14" s="2690"/>
      <c r="D14" s="2690"/>
      <c r="E14" s="2690"/>
    </row>
    <row r="15" spans="2:12" ht="13.5" customHeight="1" x14ac:dyDescent="0.2"/>
    <row r="16" spans="2:12" ht="13.5" customHeight="1" x14ac:dyDescent="0.2">
      <c r="B16" s="2090" t="s">
        <v>2084</v>
      </c>
      <c r="C16" s="2090"/>
      <c r="E16" s="2094" t="s">
        <v>2092</v>
      </c>
    </row>
    <row r="17" spans="2:5" ht="13.5" customHeight="1" x14ac:dyDescent="0.2"/>
    <row r="18" spans="2:5" ht="13.5" customHeight="1" x14ac:dyDescent="0.2">
      <c r="B18" s="2090" t="s">
        <v>2085</v>
      </c>
      <c r="C18" s="2090"/>
      <c r="E18" s="2095" t="s">
        <v>2093</v>
      </c>
    </row>
    <row r="19" spans="2:5" ht="13.5" customHeight="1" x14ac:dyDescent="0.2"/>
    <row r="20" spans="2:5" ht="13.5" customHeight="1" x14ac:dyDescent="0.2">
      <c r="B20" s="2090" t="s">
        <v>2086</v>
      </c>
      <c r="C20" s="2090"/>
      <c r="E20" s="2095" t="s">
        <v>2087</v>
      </c>
    </row>
    <row r="21" spans="2:5" ht="13.5" customHeight="1" x14ac:dyDescent="0.2">
      <c r="E21" s="2095" t="s">
        <v>2088</v>
      </c>
    </row>
    <row r="22" spans="2:5" ht="13.5" customHeight="1" x14ac:dyDescent="0.2">
      <c r="E22" s="2095"/>
    </row>
    <row r="23" spans="2:5" ht="13.5" customHeight="1" x14ac:dyDescent="0.2"/>
    <row r="24" spans="2:5" ht="13.5" customHeight="1" x14ac:dyDescent="0.2"/>
    <row r="25" spans="2:5" ht="13.5" customHeight="1" x14ac:dyDescent="0.2">
      <c r="B25" s="2096"/>
      <c r="C25" s="2096"/>
      <c r="D25" s="2096"/>
    </row>
    <row r="26" spans="2:5" ht="13.5" customHeight="1" x14ac:dyDescent="0.2">
      <c r="B26" s="2096"/>
      <c r="C26" s="2096"/>
      <c r="D26" s="2096"/>
    </row>
    <row r="27" spans="2:5" ht="13.5" customHeight="1" x14ac:dyDescent="0.2">
      <c r="B27" s="2096"/>
      <c r="C27" s="2096"/>
      <c r="D27" s="209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97"/>
      <c r="C35" s="2097"/>
      <c r="D35" s="2097"/>
    </row>
    <row r="36" spans="2:5" ht="13.5" customHeight="1" x14ac:dyDescent="0.2"/>
    <row r="37" spans="2:5" ht="13.5" customHeight="1" x14ac:dyDescent="0.2">
      <c r="B37" s="2097"/>
      <c r="C37" s="2097"/>
      <c r="D37" s="2097"/>
    </row>
    <row r="38" spans="2:5" ht="13.5" customHeight="1" x14ac:dyDescent="0.2">
      <c r="B38" s="2097"/>
      <c r="C38" s="2097"/>
      <c r="D38" s="2097"/>
    </row>
    <row r="39" spans="2:5" ht="13.5" customHeight="1" x14ac:dyDescent="0.2">
      <c r="B39" s="2097"/>
      <c r="C39" s="2097"/>
      <c r="D39" s="2097"/>
    </row>
    <row r="40" spans="2:5" ht="13.5" customHeight="1" x14ac:dyDescent="0.2">
      <c r="B40" s="2097"/>
      <c r="C40" s="2097"/>
      <c r="D40" s="2097"/>
    </row>
    <row r="41" spans="2:5" ht="13.5" customHeight="1" x14ac:dyDescent="0.2">
      <c r="B41" s="2098"/>
      <c r="C41" s="2098"/>
      <c r="D41" s="2098"/>
      <c r="E41" s="2098"/>
    </row>
    <row r="42" spans="2:5" ht="12.2" customHeight="1" x14ac:dyDescent="0.2">
      <c r="B42" s="2099" t="s">
        <v>2089</v>
      </c>
      <c r="C42" s="2099"/>
      <c r="D42" s="2099"/>
    </row>
    <row r="43" spans="2:5" ht="12.2" customHeight="1" x14ac:dyDescent="0.2">
      <c r="B43" s="2100"/>
      <c r="C43" s="2100"/>
      <c r="D43" s="2100"/>
    </row>
    <row r="44" spans="2:5" ht="12.75" customHeight="1" x14ac:dyDescent="0.2">
      <c r="B44" s="2090"/>
      <c r="C44" s="2090"/>
      <c r="D44" s="2090"/>
    </row>
    <row r="45" spans="2:5" ht="12.75" customHeight="1" x14ac:dyDescent="0.2">
      <c r="B45" s="2090"/>
      <c r="C45" s="2090"/>
      <c r="D45" s="2090"/>
    </row>
    <row r="46" spans="2:5" x14ac:dyDescent="0.2">
      <c r="B46" s="2090"/>
      <c r="C46" s="2090"/>
      <c r="D46" s="2090"/>
    </row>
    <row r="47" spans="2:5" x14ac:dyDescent="0.2">
      <c r="B47" s="2090"/>
      <c r="C47" s="2090"/>
      <c r="D47" s="2090"/>
    </row>
    <row r="51" spans="2:4" x14ac:dyDescent="0.2">
      <c r="B51" s="2101"/>
      <c r="C51" s="2101"/>
      <c r="D51" s="210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02"/>
      <c r="C64" s="2102"/>
      <c r="D64" s="2102"/>
    </row>
    <row r="65" spans="2:4" x14ac:dyDescent="0.2">
      <c r="B65" s="2090"/>
      <c r="C65" s="2090"/>
      <c r="D65" s="2090"/>
    </row>
    <row r="66" spans="2:4" x14ac:dyDescent="0.2">
      <c r="B66" s="2090"/>
      <c r="C66" s="2090"/>
      <c r="D66" s="2090"/>
    </row>
    <row r="67" spans="2:4" x14ac:dyDescent="0.2">
      <c r="B67" s="2102"/>
      <c r="C67" s="2102"/>
      <c r="D67" s="2102"/>
    </row>
    <row r="68" spans="2:4" x14ac:dyDescent="0.2">
      <c r="B68" s="2102"/>
      <c r="C68" s="2102"/>
      <c r="D68" s="2102"/>
    </row>
    <row r="69" spans="2:4" x14ac:dyDescent="0.2">
      <c r="B69" s="2102"/>
      <c r="C69" s="2102"/>
      <c r="D69" s="2102"/>
    </row>
    <row r="70" spans="2:4" x14ac:dyDescent="0.2">
      <c r="B70" s="2090"/>
      <c r="C70" s="2090"/>
      <c r="D70" s="2090"/>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terms/"/>
    <ds:schemaRef ds:uri="4d435f69-8686-490b-bd6d-b153bf22ab50"/>
    <ds:schemaRef ds:uri="http://purl.org/dc/dcmitype/"/>
    <ds:schemaRef ds:uri="http://schemas.microsoft.com/office/2006/metadata/properties"/>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d21dc803-237d-4c68-8692-8d731fd29118"/>
    <ds:schemaRef ds:uri="http://www.w3.org/XML/1998/namespace"/>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Sec-2</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2020-09-28T15:12:58Z</cp:lastPrinted>
  <dcterms:created xsi:type="dcterms:W3CDTF">2003-10-29T19:06:34Z</dcterms:created>
  <dcterms:modified xsi:type="dcterms:W3CDTF">2020-10-15T14:37:18Z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