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C0EEBA2-5C4E-4A4E-80E7-5108F2757246}" xr6:coauthVersionLast="36" xr6:coauthVersionMax="36" xr10:uidLastSave="{00000000-0000-0000-0000-000000000000}"/>
  <bookViews>
    <workbookView xWindow="2868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8" i="29" l="1"/>
  <c r="J31" i="8" l="1"/>
  <c r="M63" i="184"/>
  <c r="C100" i="5" l="1"/>
  <c r="G65" i="5" l="1"/>
  <c r="F182" i="29" l="1"/>
  <c r="C39" i="3"/>
  <c r="C65" i="5" l="1"/>
  <c r="G4" i="3"/>
  <c r="F4" i="3"/>
  <c r="E4" i="3"/>
  <c r="D4" i="3"/>
  <c r="C4" i="3"/>
  <c r="I13" i="11"/>
  <c r="I8" i="11"/>
  <c r="D55" i="29" l="1"/>
  <c r="C55" i="29"/>
  <c r="D268" i="29" l="1"/>
  <c r="D267" i="29"/>
  <c r="D266" i="29"/>
  <c r="D264" i="29"/>
  <c r="D259" i="29"/>
  <c r="D254" i="29"/>
  <c r="D223" i="29"/>
  <c r="D219" i="29"/>
  <c r="D217" i="29"/>
  <c r="E49"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F36" i="34" l="1"/>
  <c r="B7828" i="106" s="1"/>
  <c r="D7828" i="106" s="1"/>
  <c r="H342" i="29"/>
  <c r="F69" i="34"/>
  <c r="F37" i="34"/>
  <c r="B7829" i="106" s="1"/>
  <c r="D7829" i="106" s="1"/>
  <c r="G26" i="108"/>
  <c r="L22" i="37"/>
  <c r="F64" i="34"/>
  <c r="F52" i="34"/>
  <c r="B7831" i="106" s="1"/>
  <c r="D7831" i="106" s="1"/>
  <c r="G30" i="10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81" i="106" l="1"/>
  <c r="D1381" i="106" s="1"/>
  <c r="I7" i="4"/>
  <c r="B4444" i="106" s="1"/>
  <c r="D4444" i="106" s="1"/>
  <c r="H77" i="4"/>
  <c r="B3299" i="106" s="1"/>
  <c r="D3299" i="106" s="1"/>
  <c r="L16" i="11"/>
  <c r="B2061" i="106" s="1"/>
  <c r="D2061" i="106" s="1"/>
  <c r="L114" i="29"/>
  <c r="B6216" i="106"/>
  <c r="D6216" i="106" s="1"/>
  <c r="H19" i="184"/>
  <c r="L20" i="184" s="1"/>
  <c r="D44" i="36"/>
  <c r="B5527" i="106"/>
  <c r="D5527" i="106" s="1"/>
  <c r="F41" i="108"/>
  <c r="G43" i="108" s="1"/>
  <c r="K342" i="29"/>
  <c r="F13" i="34" s="1"/>
  <c r="G170" i="5"/>
  <c r="B5778" i="106" s="1"/>
  <c r="D5778" i="106" s="1"/>
  <c r="N57" i="184"/>
  <c r="N68" i="184" s="1"/>
  <c r="E68" i="184"/>
  <c r="E19" i="184"/>
  <c r="E367" i="29"/>
  <c r="B3636" i="106" s="1"/>
  <c r="D3636" i="106" s="1"/>
  <c r="B3635" i="106"/>
  <c r="B1328" i="106"/>
  <c r="D1328"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6" i="4" l="1"/>
  <c r="B2604" i="106" s="1"/>
  <c r="D2604"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K17" i="4"/>
  <c r="B3575" i="106" s="1"/>
  <c r="D3575" i="106" s="1"/>
  <c r="B6223" i="106"/>
  <c r="D6223" i="106" s="1"/>
  <c r="J20" i="4"/>
  <c r="J78" i="4"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<sst xmlns="http://schemas.openxmlformats.org/spreadsheetml/2006/main" count="5169" uniqueCount="2082">
  <si>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</si>
  <si>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</si>
  <si>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</si>
  <si>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</si>
  <si>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</si>
  <si>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</si>
  <si>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</si>
  <si>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</si>
  <si>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</si>
  <si>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</si>
  <si>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</si>
  <si>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</si>
  <si>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</si>
  <si>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</si>
  <si>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</si>
  <si>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</si>
  <si>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</si>
  <si>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</si>
  <si>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</si>
  <si>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</si>
  <si>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</si>
  <si>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</si>
  <si>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</si>
  <si>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</si>
  <si>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</si>
  <si>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</si>
  <si>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</si>
  <si>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</si>
  <si>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</si>
  <si>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</si>
  <si>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</si>
  <si>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</si>
  <si>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</si>
  <si>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</si>
  <si>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</si>
  <si>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</si>
  <si>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</si>
  <si>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</si>
  <si>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</si>
  <si>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</si>
  <si>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</si>
  <si>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</si>
  <si>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</si>
  <si>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</si>
  <si>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</si>
  <si>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</si>
  <si>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</si>
  <si>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</si>
  <si>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</si>
  <si>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</si>
  <si>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</si>
  <si>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</si>
  <si>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</si>
  <si>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</si>
  <si>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</si>
  <si>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</si>
  <si>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</si>
  <si>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</si>
  <si>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</si>
  <si>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</si>
  <si>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</si>
  <si>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</si>
  <si>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</si>
  <si>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</si>
  <si>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</si>
  <si>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</si>
  <si>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</si>
  <si>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</si>
  <si>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</si>
  <si>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</si>
  <si>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</si>
  <si>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</si>
  <si>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</si>
  <si>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</si>
  <si>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</si>
  <si>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</si>
  <si>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</si>
  <si>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</si>
  <si>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</si>
  <si>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</si>
  <si>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</si>
  <si>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</si>
  <si>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</si>
  <si>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</si>
  <si>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</si>
  <si>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</si>
  <si>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</si>
  <si>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</si>
  <si>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</si>
  <si>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</si>
  <si>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</si>
  <si>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</si>
  <si>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</si>
  <si>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</si>
  <si>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</si>
  <si>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</si>
  <si>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</si>
  <si>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</si>
  <si>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</si>
  <si>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</si>
  <si>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</si>
  <si>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</si>
  <si>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</si>
  <si>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</si>
  <si>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</si>
  <si>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</si>
  <si>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</si>
  <si>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</si>
  <si>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</si>
  <si>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</si>
  <si>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</si>
  <si>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</si>
  <si>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</si>
  <si>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</si>
  <si>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</si>
  <si>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</si>
  <si>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</si>
  <si>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</si>
  <si>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</si>
  <si>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</si>
  <si>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</si>
  <si>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</si>
  <si>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</si>
  <si>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</si>
  <si>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</si>
  <si>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</si>
  <si>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</si>
  <si>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</si>
  <si>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</si>
  <si>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</si>
  <si>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</si>
  <si>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</si>
  <si>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</si>
  <si>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</si>
  <si>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</si>
  <si>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</si>
  <si>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</si>
  <si>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</si>
  <si>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</si>
  <si>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</si>
  <si>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</si>
  <si>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</si>
  <si>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</si>
  <si>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</si>
  <si>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</si>
  <si>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</si>
  <si>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</si>
  <si>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</si>
  <si>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</si>
  <si>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</si>
  <si>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</si>
  <si>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</si>
  <si>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</si>
  <si>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</si>
  <si>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</si>
  <si>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</si>
  <si>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</si>
  <si>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</si>
  <si>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</si>
  <si>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</si>
  <si>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</si>
  <si>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</si>
  <si>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</si>
  <si>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</si>
  <si>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</si>
  <si>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</si>
  <si>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</si>
  <si>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</si>
  <si>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</si>
  <si>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</si>
  <si>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</si>
  <si>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</si>
  <si>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</si>
  <si>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</si>
  <si>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</si>
  <si>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</si>
  <si>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</si>
  <si>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</si>
  <si>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</si>
  <si>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</si>
  <si>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</si>
  <si>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</si>
  <si>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</si>
  <si>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</si>
  <si>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</si>
  <si>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</si>
  <si>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</si>
  <si>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</si>
  <si>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</si>
  <si>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</si>
  <si>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</si>
  <si>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</si>
  <si>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</si>
  <si>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</si>
  <si>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</si>
  <si>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</si>
  <si>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</si>
  <si>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</si>
  <si>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</si>
  <si>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</si>
  <si>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</si>
  <si>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</si>
  <si>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</si>
  <si>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</si>
  <si>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</si>
  <si>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</si>
  <si>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</si>
  <si>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</si>
  <si>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</si>
  <si>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</si>
  <si>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</si>
  <si>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</si>
  <si>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</si>
  <si>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</si>
  <si>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</si>
  <si>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</si>
  <si>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</si>
  <si>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</si>
  <si>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</si>
  <si>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</si>
  <si>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</si>
  <si>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</si>
  <si>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</si>
  <si>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</si>
  <si>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</si>
  <si>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</si>
  <si>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</si>
  <si>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</si>
  <si>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</si>
  <si>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</si>
  <si>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</si>
  <si>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</si>
  <si>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</si>
  <si>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</si>
  <si>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</si>
  <si>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</si>
  <si>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</si>
  <si>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</si>
  <si>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</si>
  <si>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</si>
  <si>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</si>
  <si>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</si>
  <si>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</si>
  <si>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</si>
  <si>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</si>
  <si>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</si>
  <si>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</si>
  <si>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</si>
  <si>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</si>
  <si>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</si>
  <si>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</si>
  <si>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</si>
  <si>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</si>
  <si>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</si>
  <si>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</si>
  <si>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</si>
  <si>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</si>
  <si>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</si>
  <si>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</si>
  <si>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</si>
  <si>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</si>
  <si>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</si>
  <si>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</si>
  <si>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</si>
  <si>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</si>
  <si>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</si>
  <si>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</si>
  <si>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</si>
  <si>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</si>
  <si>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</si>
  <si>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</si>
  <si>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</si>
  <si>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</si>
  <si>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</si>
  <si>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</si>
  <si>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</si>
  <si>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</si>
  <si>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</si>
  <si>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</si>
  <si>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</si>
  <si>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</si>
  <si>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</si>
  <si>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</si>
  <si>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</si>
  <si>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</si>
  <si>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</si>
  <si>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</si>
  <si>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</si>
  <si>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</si>
  <si>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</si>
  <si>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</si>
  <si>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</si>
  <si>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</si>
  <si>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</si>
  <si>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</si>
  <si>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</si>
  <si>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</si>
  <si>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</si>
  <si>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</si>
  <si>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</si>
  <si>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</si>
  <si>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</si>
  <si>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</si>
  <si>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</si>
  <si>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</si>
  <si>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</si>
  <si>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</si>
  <si>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</si>
  <si>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</si>
  <si>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</si>
  <si>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</si>
  <si>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</si>
  <si>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</si>
  <si>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</si>
  <si>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</si>
  <si>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</si>
  <si>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</si>
  <si>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</si>
  <si>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</si>
  <si>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</si>
  <si>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</si>
  <si>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</si>
  <si>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</si>
  <si>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</si>
  <si>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</si>
  <si>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</si>
  <si>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</si>
  <si>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</si>
  <si>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</si>
  <si>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</si>
  <si>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</si>
  <si>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</si>
  <si>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</si>
  <si>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</si>
  <si>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</si>
  <si>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</si>
  <si>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</si>
  <si>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</si>
  <si>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</si>
  <si>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</si>
  <si>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</si>
  <si>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</si>
  <si>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</si>
  <si>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</si>
  <si>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</si>
  <si>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</si>
  <si>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</si>
  <si>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</si>
  <si>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</si>
  <si>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</si>
  <si>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</si>
  <si>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</si>
  <si>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</si>
  <si>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</si>
  <si>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</si>
  <si>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</si>
  <si>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</si>
  <si>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</si>
  <si>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</si>
  <si>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</si>
  <si>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</si>
  <si>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</si>
  <si>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</si>
  <si>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</si>
  <si>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</si>
  <si>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</si>
  <si>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</si>
  <si>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</si>
  <si>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</si>
  <si>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</si>
  <si>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</si>
  <si>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</si>
  <si>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</si>
  <si>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</si>
  <si>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</si>
  <si>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</si>
  <si>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</si>
  <si>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</si>
  <si>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</si>
  <si>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</si>
  <si>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</si>
  <si>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</si>
  <si>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</si>
  <si>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</si>
  <si>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</si>
  <si>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</si>
  <si>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</si>
  <si>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</si>
  <si>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</si>
  <si>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</si>
  <si>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</si>
  <si>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</si>
  <si>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</si>
  <si>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</si>
  <si>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</si>
  <si>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</si>
  <si>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</si>
  <si>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</si>
  <si>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</si>
  <si>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</si>
  <si>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</si>
  <si>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</si>
  <si>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</si>
  <si>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</si>
  <si>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</si>
  <si>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</si>
  <si>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</si>
  <si>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</si>
  <si>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</si>
  <si>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</si>
  <si>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</si>
  <si>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</si>
  <si>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</si>
  <si>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</si>
  <si>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</si>
  <si>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</si>
  <si>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</si>
  <si>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</si>
  <si>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</si>
  <si>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</si>
  <si>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</si>
  <si>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</si>
  <si>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</si>
  <si>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</si>
  <si>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</si>
  <si>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</si>
  <si>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</si>
  <si>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</si>
  <si>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</si>
  <si>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</si>
  <si>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</si>
  <si>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</si>
  <si>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</si>
  <si>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</si>
  <si>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</si>
  <si>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</si>
  <si>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</si>
  <si>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</si>
  <si>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</si>
  <si>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</si>
  <si>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</si>
  <si>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</si>
  <si>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</si>
  <si>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</si>
  <si>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</si>
  <si>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</si>
  <si>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</si>
  <si>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</si>
  <si>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</si>
  <si>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</si>
  <si>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</si>
  <si>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</si>
  <si>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</si>
  <si>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</si>
  <si>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</si>
  <si>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</si>
  <si>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</si>
  <si>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</si>
  <si>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</si>
  <si>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</si>
  <si>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</si>
  <si>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</si>
  <si>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</si>
  <si>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</si>
  <si>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</si>
  <si>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</si>
  <si>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</si>
  <si>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</si>
  <si>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</si>
  <si>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</si>
  <si>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</si>
  <si>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</si>
  <si>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</si>
  <si>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</si>
  <si>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</si>
  <si>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</si>
  <si>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</si>
  <si>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</si>
  <si>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</si>
  <si>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</si>
  <si>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</si>
  <si>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</si>
  <si>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</si>
  <si>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</si>
  <si>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</si>
  <si>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</si>
  <si>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</si>
  <si>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</si>
  <si>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</si>
  <si>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</si>
  <si>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</si>
  <si>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</si>
  <si>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</si>
  <si>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</si>
  <si>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</si>
  <si>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</si>
  <si>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</si>
  <si>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</si>
  <si>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</si>
  <si>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</si>
  <si>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</si>
  <si>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</si>
  <si>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</si>
  <si>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</si>
  <si>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</si>
  <si>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</si>
  <si>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</si>
  <si>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</si>
  <si>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</si>
  <si>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</si>
  <si>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</si>
  <si>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</si>
  <si>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</si>
  <si>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</si>
  <si>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</si>
  <si>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</si>
  <si>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</si>
  <si>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</si>
  <si>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</si>
  <si>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</si>
  <si>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</si>
  <si>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</si>
  <si>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</si>
  <si>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</si>
  <si>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</si>
  <si>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</si>
  <si>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</si>
  <si>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</si>
  <si>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</si>
  <si>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</si>
  <si>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</si>
  <si>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</si>
  <si>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</si>
  <si>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</si>
  <si>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</si>
  <si>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</si>
  <si>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</si>
  <si>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</si>
  <si>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</si>
  <si>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</si>
  <si>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</si>
  <si>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</si>
  <si>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</si>
  <si>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</si>
  <si>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</si>
  <si>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</si>
  <si>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</si>
  <si>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</si>
  <si>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</si>
  <si>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</si>
  <si>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</si>
  <si>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</si>
  <si>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</si>
  <si>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</si>
  <si>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</si>
  <si>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</si>
  <si>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</si>
  <si>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</si>
  <si>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</si>
  <si>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</si>
  <si>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</si>
  <si>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</si>
  <si>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</si>
  <si>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</si>
  <si>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</si>
  <si>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</si>
  <si>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</si>
  <si>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</si>
  <si>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</si>
  <si>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</si>
  <si>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</si>
  <si>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</si>
  <si>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</si>
  <si>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</si>
  <si>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</si>
  <si>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</si>
  <si>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</si>
  <si>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</si>
  <si>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</si>
  <si>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</si>
  <si>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</si>
  <si>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</si>
  <si>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</si>
  <si>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</si>
  <si>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</si>
  <si>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</si>
  <si>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</si>
  <si>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</si>
  <si>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</si>
  <si>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</si>
  <si>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</si>
  <si>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</si>
  <si>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</si>
  <si>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</si>
  <si>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</si>
  <si>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</si>
  <si>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</si>
  <si>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</si>
  <si>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</si>
  <si>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</si>
  <si>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</si>
  <si>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</si>
  <si>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</si>
  <si>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</si>
  <si>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</si>
  <si>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</si>
  <si>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</si>
  <si>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</si>
  <si>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</si>
  <si>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</si>
  <si>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</si>
  <si>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</si>
  <si>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</si>
  <si>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</si>
  <si>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</si>
  <si>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</si>
  <si>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</si>
  <si>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</si>
  <si>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</si>
  <si>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</si>
  <si>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</si>
  <si>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</si>
  <si>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</si>
  <si>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</si>
  <si>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</si>
  <si>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</si>
  <si>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</si>
  <si>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</si>
  <si>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</si>
  <si>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</si>
  <si>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</si>
  <si>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</si>
  <si>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</si>
  <si>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</si>
  <si>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</si>
  <si>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</si>
  <si>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</si>
  <si>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</si>
  <si>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</si>
  <si>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</si>
  <si>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</si>
  <si>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</si>
  <si>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</si>
  <si>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</si>
  <si>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</si>
  <si>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</si>
  <si>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</si>
  <si>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</si>
  <si>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</si>
  <si>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</si>
  <si>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</si>
  <si>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</si>
  <si>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</si>
  <si>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</si>
  <si>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</si>
  <si>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</si>
  <si>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</si>
  <si>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</si>
  <si>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</si>
  <si>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</si>
  <si>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</si>
  <si>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</si>
  <si>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</si>
  <si>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</si>
  <si>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</si>
  <si>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</si>
  <si>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</si>
  <si>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</si>
  <si>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</si>
  <si>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</si>
  <si>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</si>
  <si>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</si>
  <si>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</si>
  <si>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</si>
  <si>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</si>
  <si>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</si>
  <si>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</si>
  <si>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</si>
  <si>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</si>
  <si>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</si>
  <si>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</si>
  <si>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</si>
  <si>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</si>
  <si>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</si>
  <si>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</si>
  <si>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</si>
  <si>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</si>
  <si>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</si>
  <si>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</si>
  <si>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</si>
  <si>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</si>
  <si>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</si>
  <si>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</si>
  <si>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</si>
  <si>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</si>
  <si>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</si>
  <si>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</si>
  <si>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</si>
  <si>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</si>
  <si>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</si>
  <si>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</si>
  <si>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</si>
  <si>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</si>
  <si>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</si>
  <si>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</si>
  <si>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</si>
  <si>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</si>
  <si>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</si>
  <si>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</si>
  <si>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</si>
  <si>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</si>
  <si>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</si>
  <si>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</si>
  <si>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</si>
  <si>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</si>
  <si>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</si>
  <si>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</si>
  <si>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</si>
  <si>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</si>
  <si>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</si>
  <si>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</si>
  <si>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</si>
  <si>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</si>
  <si>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</si>
  <si>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</si>
  <si>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</si>
  <si>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</si>
  <si>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</si>
  <si>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</si>
  <si>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</si>
  <si>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</si>
  <si>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</si>
  <si>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</si>
  <si>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</si>
  <si>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</si>
  <si>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</si>
  <si>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</si>
  <si>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</si>
  <si>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</si>
  <si>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</si>
  <si>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</si>
  <si>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</si>
  <si>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</si>
  <si>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</si>
  <si>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</si>
  <si>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</si>
  <si>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</si>
  <si>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</si>
  <si>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</si>
  <si>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</si>
  <si>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</si>
  <si>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</si>
  <si>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</si>
  <si>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</si>
  <si>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</si>
  <si>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</si>
  <si>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</si>
  <si>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</si>
  <si>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</si>
  <si>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</si>
  <si>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</si>
  <si>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</si>
  <si>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</si>
  <si>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</si>
  <si>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</si>
  <si>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</si>
  <si>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</si>
  <si>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</si>
  <si>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</si>
  <si>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</si>
  <si>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</si>
  <si>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</si>
  <si>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</si>
  <si>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</si>
  <si>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</si>
  <si>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</si>
  <si>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</si>
  <si>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</si>
  <si>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</si>
  <si>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</si>
  <si>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</si>
  <si>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</si>
  <si>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</si>
  <si>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</si>
  <si>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</si>
  <si>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</si>
  <si>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</si>
  <si>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</si>
  <si>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</si>
  <si>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</si>
  <si>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</si>
  <si>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</si>
  <si>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</si>
  <si>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</si>
  <si>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</si>
  <si>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</si>
  <si>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</si>
  <si>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</si>
  <si>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</si>
  <si>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</si>
  <si>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</si>
  <si>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</si>
  <si>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</si>
  <si>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</si>
  <si>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</si>
  <si>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</si>
  <si>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</si>
  <si>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</si>
  <si>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</si>
  <si>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</si>
  <si>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</si>
  <si>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</si>
  <si>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</si>
  <si>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</si>
  <si>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</si>
  <si>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</si>
  <si>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</si>
  <si>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</si>
  <si>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</si>
  <si>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</si>
  <si>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</si>
  <si>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</si>
  <si>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</si>
  <si>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</si>
  <si>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</si>
  <si>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</si>
  <si>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</si>
  <si>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</si>
  <si>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</si>
  <si>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</si>
  <si>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</si>
  <si>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</si>
  <si>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</si>
  <si>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</si>
  <si>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</si>
  <si>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</si>
  <si>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</si>
  <si>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</si>
  <si>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</si>
  <si>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</si>
  <si>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</si>
  <si>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</si>
  <si>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</si>
  <si>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</si>
  <si>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</si>
  <si>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</si>
  <si>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</si>
  <si>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</si>
  <si>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</si>
  <si>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</si>
  <si>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</si>
  <si>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</si>
  <si>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</si>
  <si>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</si>
  <si>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</si>
  <si>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</si>
  <si>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</si>
  <si>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</si>
  <si>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</si>
  <si>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</si>
  <si>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</si>
  <si>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</si>
  <si>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</si>
  <si>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</si>
  <si>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</si>
  <si>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</si>
  <si>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</si>
  <si>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</si>
  <si>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</si>
  <si>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</si>
  <si>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</si>
  <si>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</si>
  <si>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</si>
  <si>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</si>
  <si>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</si>
  <si>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</si>
  <si>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</si>
  <si>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</si>
  <si>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</si>
  <si>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</si>
  <si>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</si>
  <si>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</si>
  <si>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</si>
  <si>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</si>
  <si>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</si>
  <si>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</si>
  <si>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</si>
  <si>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</si>
  <si>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</si>
  <si>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</si>
  <si>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</si>
  <si>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</si>
  <si>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</si>
  <si>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</si>
  <si>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</si>
  <si>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</si>
  <si>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</si>
  <si>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</si>
  <si>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</si>
  <si>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</si>
  <si>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</si>
  <si>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</si>
  <si>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</si>
  <si>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</si>
  <si>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</si>
  <si>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</si>
  <si>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</si>
  <si>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</si>
  <si>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</si>
  <si>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</si>
  <si>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</si>
  <si>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</si>
  <si>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</si>
  <si>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</si>
  <si>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</si>
  <si>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</si>
  <si>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</si>
  <si>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</si>
  <si>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</si>
  <si>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</si>
  <si>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</si>
  <si>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</si>
  <si>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</si>
  <si>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</si>
  <si>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</si>
  <si>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</si>
  <si>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</si>
  <si>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</si>
  <si>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</si>
  <si>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</si>
  <si>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</si>
  <si>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</si>
  <si>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</si>
  <si>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</si>
  <si>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</si>
  <si>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</si>
  <si>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</si>
  <si>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</si>
  <si>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</si>
  <si>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</si>
  <si>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</si>
  <si>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</si>
  <si>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</si>
  <si>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</si>
  <si>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</si>
  <si>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</si>
  <si>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</si>
  <si>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</si>
  <si>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</si>
  <si>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</si>
  <si>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</si>
  <si>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</si>
  <si>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</si>
  <si>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</si>
  <si>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</si>
  <si>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</si>
  <si>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</si>
  <si>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</si>
  <si>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</si>
  <si>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</si>
  <si>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</si>
  <si>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</si>
  <si>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</si>
  <si>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</si>
  <si>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</si>
  <si>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</si>
  <si>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</si>
  <si>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</si>
  <si>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</si>
  <si>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</si>
  <si>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</si>
  <si>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</si>
  <si>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</si>
  <si>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</si>
  <si>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</si>
  <si>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</si>
  <si>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</si>
  <si>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</si>
  <si>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</si>
  <si>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</si>
  <si>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</si>
  <si>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</si>
  <si>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</si>
  <si>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</si>
  <si>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</si>
  <si>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</si>
  <si>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</si>
  <si>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</si>
  <si>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</si>
  <si>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</si>
  <si>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</si>
  <si>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</si>
  <si>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</si>
  <si>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</si>
  <si>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</si>
  <si>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</si>
  <si>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</si>
  <si>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</si>
  <si>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</si>
  <si>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</si>
  <si>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</si>
  <si>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</si>
  <si>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</si>
  <si>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</si>
  <si>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</si>
  <si>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</si>
  <si>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</si>
  <si>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</si>
  <si>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</si>
  <si>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</si>
  <si>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</si>
  <si>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</si>
  <si>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</si>
  <si>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</si>
  <si>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</si>
  <si>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</si>
  <si>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</si>
  <si>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</si>
  <si>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</si>
  <si>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</si>
  <si>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</si>
  <si>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</si>
  <si>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</si>
  <si>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</si>
  <si>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</si>
  <si>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</si>
  <si>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</si>
  <si>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</si>
  <si>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</si>
  <si>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</si>
  <si>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</si>
  <si>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</si>
  <si>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</si>
  <si>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</si>
  <si>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</si>
  <si>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</si>
  <si>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</si>
  <si>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</si>
  <si>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</si>
  <si>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</si>
  <si>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</si>
  <si>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</si>
  <si>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</si>
  <si>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</si>
  <si>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</si>
  <si>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</si>
  <si>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</si>
  <si>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</si>
  <si>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</si>
  <si>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</si>
  <si>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</si>
  <si>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</si>
  <si>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</si>
  <si>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</si>
  <si>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</si>
  <si>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</si>
  <si>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</si>
  <si>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</si>
  <si>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</si>
  <si>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</si>
  <si>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</si>
  <si>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</si>
  <si>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</si>
  <si>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</si>
  <si>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</si>
  <si>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</si>
  <si>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</si>
  <si>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</si>
  <si>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</si>
  <si>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</si>
  <si>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</si>
  <si>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</si>
  <si>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</si>
  <si>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</si>
  <si>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</si>
  <si>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</si>
  <si>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</si>
  <si>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</si>
  <si>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</si>
  <si>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</si>
  <si>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</si>
  <si>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</si>
  <si>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</si>
  <si>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</si>
  <si>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</si>
  <si>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</si>
  <si>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</si>
  <si>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</si>
  <si>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</si>
  <si>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</si>
  <si>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</si>
  <si>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</si>
  <si>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</si>
  <si>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</si>
  <si>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</si>
  <si>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</si>
  <si>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</si>
  <si>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</si>
  <si>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</si>
  <si>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</si>
  <si>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</si>
  <si>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</si>
  <si>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</si>
  <si>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</si>
  <si>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</si>
  <si>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</si>
  <si>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</si>
  <si>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</si>
  <si>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</si>
  <si>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</si>
  <si>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</si>
  <si>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</si>
  <si>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</si>
  <si>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</si>
  <si>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</si>
  <si>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</si>
  <si>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</si>
  <si>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</si>
  <si>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</si>
  <si>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</si>
  <si>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</si>
  <si>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</si>
  <si>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</si>
  <si>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</si>
  <si>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</si>
  <si>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</si>
  <si>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</si>
  <si>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</si>
  <si>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</si>
  <si>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</si>
  <si>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</si>
  <si>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</si>
  <si>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</si>
  <si>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</si>
  <si>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</si>
  <si>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</si>
  <si>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</si>
  <si>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</si>
  <si>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</si>
  <si>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</si>
  <si>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</si>
  <si>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</si>
  <si>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</si>
  <si>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</si>
  <si>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</si>
  <si>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</si>
  <si>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</si>
  <si>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</si>
  <si>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</si>
  <si>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</si>
  <si>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</si>
  <si>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</si>
  <si>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</si>
  <si>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</si>
  <si>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</si>
  <si>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</si>
  <si>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</si>
  <si>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</si>
  <si>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</si>
  <si>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</si>
  <si>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</si>
  <si>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</si>
  <si>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</si>
  <si>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</si>
  <si>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</si>
  <si>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</si>
  <si>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</si>
  <si>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</si>
  <si>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</si>
  <si>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</si>
  <si>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</si>
  <si>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</si>
  <si>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</si>
  <si>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</si>
  <si>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</si>
  <si>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</si>
  <si>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</si>
  <si>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</si>
  <si>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</si>
  <si>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</si>
  <si>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</si>
  <si>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</si>
  <si>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</si>
  <si>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</si>
  <si>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</si>
  <si>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</si>
  <si>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</si>
  <si>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</si>
  <si>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</si>
  <si>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</si>
  <si>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</si>
  <si>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</si>
  <si>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</si>
  <si>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</si>
  <si>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</si>
  <si>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</si>
  <si>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</si>
  <si>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</si>
  <si>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</si>
  <si>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</si>
  <si>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</si>
  <si>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</si>
  <si>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</si>
  <si>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</si>
  <si>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</si>
  <si>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</si>
  <si>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</si>
  <si>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</si>
  <si>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</si>
  <si>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</si>
  <si>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</si>
  <si>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</si>
  <si>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</si>
  <si>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</si>
  <si>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</si>
  <si>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</si>
  <si>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</si>
  <si>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</si>
  <si>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</si>
  <si>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</si>
  <si>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</si>
  <si>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</si>
  <si>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</si>
  <si>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</si>
  <si>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</si>
  <si>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</si>
  <si>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</si>
  <si>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</si>
  <si>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</si>
  <si>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</si>
  <si>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</si>
  <si>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</si>
  <si>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</si>
  <si>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</si>
  <si>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</si>
  <si>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</si>
  <si>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</si>
  <si>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</si>
  <si>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</si>
  <si>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</si>
  <si>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</si>
  <si>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</si>
  <si>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</si>
  <si>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</si>
  <si>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</si>
  <si>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</si>
  <si>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</si>
  <si>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</si>
  <si>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</si>
  <si>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</si>
  <si>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</si>
  <si>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</si>
  <si>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</si>
  <si>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</si>
  <si>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</si>
  <si>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</si>
  <si>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</si>
  <si>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</si>
  <si>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</si>
  <si>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</si>
  <si>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</si>
  <si>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</si>
  <si>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</si>
  <si>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</si>
  <si>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</si>
  <si>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</si>
  <si>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</si>
  <si>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</si>
  <si>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</si>
  <si>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</si>
  <si>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</si>
  <si>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</si>
  <si>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</si>
  <si>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</si>
  <si>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</si>
  <si>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</si>
  <si>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</si>
  <si>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</si>
  <si>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</si>
  <si>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</si>
  <si>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</si>
  <si>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</si>
  <si>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</si>
  <si>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</si>
  <si>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</si>
  <si>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</si>
  <si>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</si>
  <si>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</si>
  <si>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</si>
  <si>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</si>
  <si>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</si>
  <si>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</si>
  <si>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</si>
  <si>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</si>
  <si>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</si>
  <si>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</si>
  <si>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</si>
  <si>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</si>
  <si>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</si>
  <si>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</si>
  <si>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</si>
  <si>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</si>
  <si>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</si>
  <si>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</si>
  <si>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</si>
  <si>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</si>
  <si>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</si>
  <si>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</si>
  <si>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</si>
  <si>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</si>
  <si>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</si>
  <si>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</si>
  <si>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</si>
  <si>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</si>
  <si>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</si>
  <si>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</si>
  <si>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</si>
  <si>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</si>
  <si>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</si>
  <si>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</si>
  <si>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</si>
  <si>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</si>
  <si>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</si>
  <si>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</si>
  <si>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</si>
  <si>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</si>
  <si>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</si>
  <si>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</si>
  <si>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</si>
  <si>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</si>
  <si>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</si>
  <si>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</si>
  <si>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</si>
  <si>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</si>
  <si>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</si>
  <si>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</si>
  <si>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</si>
  <si>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</si>
  <si>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</si>
  <si>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</si>
  <si>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</si>
  <si>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</si>
  <si>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</si>
  <si>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</si>
  <si>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</si>
  <si>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</si>
  <si>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</si>
  <si>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</si>
  <si>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</si>
  <si>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</si>
  <si>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</si>
  <si>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</si>
  <si>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</si>
  <si>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</si>
  <si>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</si>
  <si>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</si>
  <si>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</si>
  <si>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</si>
  <si>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</si>
  <si>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</si>
  <si>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</si>
  <si>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</si>
  <si>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</si>
  <si>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</si>
  <si>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</si>
  <si>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</si>
  <si>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</si>
  <si>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</si>
  <si>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</si>
  <si>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</si>
  <si>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</si>
  <si>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</si>
  <si>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</si>
  <si>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</si>
  <si>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</si>
  <si>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</si>
  <si>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</si>
  <si>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</si>
  <si>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</si>
  <si>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</si>
  <si>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</si>
  <si>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</si>
  <si>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</si>
  <si>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</si>
  <si>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</si>
  <si>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</si>
  <si>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</si>
  <si>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</si>
  <si>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</si>
  <si>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</si>
  <si>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</si>
  <si>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</si>
  <si>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</si>
  <si>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</si>
  <si>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</si>
  <si>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</si>
  <si>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</si>
  <si>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</si>
  <si>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</si>
  <si>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</si>
  <si>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</si>
  <si>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</si>
  <si>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</si>
  <si>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</si>
  <si>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</si>
  <si>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</si>
  <si>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</si>
  <si>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</si>
  <si>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</si>
  <si>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</si>
  <si>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</si>
  <si>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</si>
  <si>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</si>
  <si>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</si>
  <si>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</si>
  <si>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</si>
  <si>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</si>
  <si>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</si>
  <si>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</si>
  <si>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</si>
  <si>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</si>
  <si>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</si>
  <si>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</si>
  <si>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</si>
  <si>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</si>
  <si>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</si>
  <si>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</si>
  <si>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</si>
  <si>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</si>
  <si>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</si>
  <si>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</si>
  <si>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</si>
  <si>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</si>
  <si>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</si>
  <si>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</si>
  <si>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</si>
  <si>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</si>
  <si>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</si>
  <si>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</si>
  <si>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</si>
  <si>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</si>
  <si>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</si>
  <si>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</si>
  <si>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</si>
  <si>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</si>
  <si>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</si>
  <si>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</si>
  <si>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</si>
  <si>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</si>
  <si>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</si>
  <si>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</si>
  <si>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</si>
  <si>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</si>
  <si>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</si>
  <si>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</si>
  <si>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</si>
  <si>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</si>
  <si>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</si>
  <si>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</si>
  <si>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</si>
  <si>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</si>
  <si>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</si>
  <si>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</si>
  <si>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</si>
  <si>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</si>
  <si>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</si>
  <si>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</si>
  <si>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</si>
  <si>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</si>
  <si>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</si>
  <si>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</si>
  <si>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</si>
  <si>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</si>
  <si>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</si>
  <si>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</si>
  <si>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</si>
  <si>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</si>
  <si>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</si>
  <si>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</si>
  <si>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</si>
  <si>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</si>
  <si>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</si>
  <si>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</si>
  <si>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</si>
  <si>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</si>
  <si>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</si>
  <si>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</si>
  <si>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</si>
  <si>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</si>
  <si>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</si>
  <si>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</si>
  <si>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</si>
  <si>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</si>
  <si>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</si>
  <si>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</si>
  <si>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</si>
  <si>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</si>
  <si>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</si>
  <si>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</si>
  <si>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</si>
  <si>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</si>
  <si>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</si>
  <si>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</si>
  <si>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</si>
  <si>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</si>
  <si>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</si>
  <si>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</si>
  <si>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</si>
  <si>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</si>
  <si>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</si>
  <si>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</si>
  <si>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</si>
  <si>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</si>
  <si>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</si>
  <si>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</si>
  <si>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</si>
  <si>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</si>
  <si>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</si>
  <si>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</si>
  <si>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</si>
  <si>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</si>
  <si>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</si>
  <si>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</si>
  <si>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</si>
  <si>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</si>
  <si>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</si>
  <si>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</si>
  <si>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</si>
  <si>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</si>
  <si>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</si>
  <si>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</si>
  <si>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</si>
  <si>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</si>
  <si>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</si>
  <si>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</si>
  <si>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</si>
  <si>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</si>
  <si>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</si>
  <si>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</si>
  <si>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</si>
  <si>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</si>
  <si>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</si>
  <si>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</si>
  <si>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</si>
  <si>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</si>
  <si>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</si>
  <si>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</si>
  <si>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</si>
  <si>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</si>
  <si>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</si>
  <si>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</si>
  <si>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</si>
  <si>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</si>
  <si>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</si>
  <si>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</si>
  <si>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</si>
  <si>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</si>
  <si>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</si>
  <si>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</si>
  <si>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</si>
  <si>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</si>
  <si>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</si>
  <si>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</si>
  <si>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</si>
  <si>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</si>
  <si>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</si>
  <si>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</si>
  <si>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</si>
  <si>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</si>
  <si>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</si>
  <si>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</si>
  <si>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</si>
  <si>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</si>
  <si>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</si>
  <si>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</si>
  <si>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</si>
  <si>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</si>
  <si>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</si>
  <si>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</si>
  <si>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</si>
  <si>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</si>
  <si>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</si>
  <si>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</si>
  <si>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</si>
  <si>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</si>
  <si>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</si>
  <si>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</si>
  <si>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</si>
  <si>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</si>
  <si>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</si>
  <si>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</si>
  <si>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</si>
  <si>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</si>
  <si>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</si>
  <si>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</si>
  <si>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</si>
  <si>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</si>
  <si>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</si>
  <si>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</si>
  <si>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</si>
  <si>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</si>
  <si>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</si>
  <si>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</si>
  <si>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</si>
  <si>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</si>
  <si>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</si>
  <si>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</si>
  <si>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</si>
  <si>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</si>
  <si>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</si>
  <si>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</si>
  <si>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</si>
  <si>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</si>
  <si>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</si>
  <si>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</si>
  <si>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</si>
  <si>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</si>
  <si>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</si>
  <si>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</si>
  <si>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</si>
  <si>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</si>
  <si>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</si>
  <si>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</si>
  <si>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</si>
  <si>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</si>
  <si>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</si>
  <si>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</si>
  <si>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</si>
  <si>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</si>
  <si>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</si>
  <si>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</si>
  <si>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</si>
  <si>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</si>
  <si>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</si>
  <si>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</si>
  <si>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</si>
  <si>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</si>
  <si>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</si>
  <si>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</si>
  <si>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</si>
  <si>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</si>
  <si>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</si>
  <si>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</si>
  <si>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</si>
  <si>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</si>
  <si>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</si>
  <si>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</si>
  <si>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</si>
  <si>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</si>
  <si>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</si>
  <si>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</si>
  <si>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</si>
  <si>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</si>
  <si>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</si>
  <si>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</si>
  <si>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</si>
  <si>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</si>
  <si>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</si>
  <si>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</si>
  <si>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</si>
  <si>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</si>
  <si>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</si>
  <si>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</si>
  <si>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</si>
  <si>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</si>
  <si>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</si>
  <si>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</si>
  <si>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</si>
  <si>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</si>
  <si>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</si>
  <si>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</si>
  <si>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</si>
  <si>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</si>
  <si>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</si>
  <si>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</si>
  <si>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</si>
  <si>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</si>
  <si>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</si>
  <si>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</si>
  <si>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</si>
  <si>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</si>
  <si>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</si>
  <si>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</si>
  <si>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</si>
  <si>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</si>
  <si>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</si>
  <si>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</si>
  <si>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</si>
  <si>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</si>
  <si>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</si>
  <si>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</si>
  <si>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</si>
  <si>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</si>
  <si>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</si>
  <si>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</si>
  <si>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</si>
  <si>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</si>
  <si>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</si>
  <si>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</si>
  <si>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</si>
  <si>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</si>
  <si>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</si>
  <si>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</si>
  <si>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</si>
  <si>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</si>
  <si>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</si>
  <si>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</si>
  <si>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</si>
  <si>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</si>
  <si>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</si>
  <si>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</si>
  <si>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</si>
  <si>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</si>
  <si>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</si>
  <si>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</si>
  <si>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</si>
  <si>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</si>
  <si>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</si>
  <si>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</si>
  <si>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</si>
  <si>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</si>
  <si>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</si>
  <si>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</si>
  <si>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</si>
  <si>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</si>
  <si>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</si>
  <si>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</si>
  <si>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</si>
  <si>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</si>
  <si>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</si>
  <si>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</si>
  <si>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</si>
  <si>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</si>
  <si>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</si>
  <si>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</si>
  <si>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</si>
  <si>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</si>
  <si>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</si>
  <si>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</si>
  <si>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</si>
  <si>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</si>
  <si>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</si>
  <si>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</si>
  <si>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</si>
  <si>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</si>
  <si>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</si>
  <si>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</si>
  <si>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</si>
  <si>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</si>
  <si>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</si>
  <si>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</si>
  <si>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</si>
  <si>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</si>
  <si>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</si>
  <si>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</si>
  <si>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</si>
  <si>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</si>
  <si>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</si>
  <si>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</si>
  <si>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</si>
  <si>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</si>
  <si>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</si>
  <si>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</si>
  <si>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</si>
  <si>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</si>
  <si>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</si>
  <si>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</si>
  <si>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</si>
  <si>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</si>
  <si>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</si>
  <si>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</si>
  <si>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</si>
  <si>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</si>
  <si>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</si>
  <si>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</si>
  <si>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</si>
  <si>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</si>
  <si>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</si>
  <si>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</si>
  <si>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</si>
  <si>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</si>
  <si>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</si>
  <si>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</si>
  <si>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</si>
  <si>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</si>
  <si>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</si>
  <si>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</si>
  <si>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</si>
  <si>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</si>
  <si>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</si>
  <si>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</si>
  <si>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</si>
  <si>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</si>
  <si>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</si>
  <si>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</si>
  <si>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</si>
  <si>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</si>
  <si>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</si>
  <si>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</si>
  <si>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</si>
  <si>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</si>
  <si>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</si>
  <si>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</si>
  <si>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</si>
  <si>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</si>
  <si>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</si>
  <si>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</si>
  <si>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</si>
  <si>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</si>
  <si>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</si>
  <si>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</si>
  <si>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</si>
  <si>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</si>
  <si>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</si>
  <si>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</si>
  <si>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</si>
  <si>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</si>
  <si>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</si>
  <si>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</si>
  <si>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</si>
  <si>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</si>
  <si>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</si>
  <si>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</si>
  <si>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</si>
  <si>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</si>
  <si>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</si>
  <si>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</si>
  <si>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</si>
  <si>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</si>
  <si>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</si>
  <si>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</si>
  <si>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</si>
  <si>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</si>
  <si>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</si>
  <si>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</si>
  <si>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</si>
  <si>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</si>
  <si>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</si>
  <si>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</si>
  <si>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</si>
  <si>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</si>
  <si>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</si>
  <si>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</si>
  <si>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</si>
  <si>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</si>
  <si>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</si>
  <si>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</si>
  <si>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</si>
  <si>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</si>
  <si>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</si>
  <si>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</si>
  <si>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</si>
  <si>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</si>
  <si>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</si>
  <si>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</si>
  <si>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</si>
  <si>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</si>
  <si>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</si>
  <si>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</si>
  <si>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</si>
  <si>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</si>
  <si>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</si>
  <si>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</si>
  <si>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</si>
  <si>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</si>
  <si>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</si>
  <si>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</si>
  <si>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</si>
  <si>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</si>
  <si>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</si>
  <si>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</si>
  <si>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</si>
  <si>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</si>
  <si>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</si>
  <si>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</si>
  <si>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</si>
  <si>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</si>
  <si>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</si>
  <si>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</si>
  <si>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</si>
  <si>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</si>
  <si>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</si>
  <si>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</si>
  <si>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</si>
  <si>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</si>
  <si>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</si>
  <si>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</si>
  <si>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</si>
  <si>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</si>
  <si>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</si>
  <si>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</si>
  <si>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</si>
  <si>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</si>
  <si>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</si>
  <si>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</si>
  <si>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</si>
  <si>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</si>
  <si>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</si>
  <si>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</si>
  <si>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</si>
  <si>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</si>
  <si>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</si>
  <si>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</si>
  <si>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</si>
  <si>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</si>
  <si>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</si>
  <si>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</si>
  <si>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</si>
  <si>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</si>
  <si>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</si>
  <si>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</si>
  <si>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</si>
  <si>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</si>
  <si>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</si>
  <si>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</si>
  <si>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</si>
  <si>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</si>
  <si>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</si>
  <si>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</si>
  <si>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</si>
  <si>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</si>
  <si>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</si>
  <si>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</si>
  <si>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</si>
  <si>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</si>
  <si>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</si>
  <si>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</si>
  <si>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</si>
  <si>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</si>
  <si>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</si>
  <si>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</si>
  <si>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</si>
  <si>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</si>
  <si>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</si>
  <si>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</si>
  <si>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</si>
  <si>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</si>
  <si>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</si>
  <si>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</si>
  <si>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</si>
  <si>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</si>
  <si>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</si>
  <si>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</si>
  <si>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</si>
  <si>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</si>
  <si>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</si>
  <si>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</si>
  <si>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</si>
  <si>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</si>
  <si>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</si>
  <si>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</si>
  <si>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</si>
  <si>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</si>
  <si>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</si>
  <si>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</si>
  <si>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</si>
  <si>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</si>
  <si>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</si>
  <si>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</si>
  <si>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</si>
  <si>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</si>
  <si>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</si>
  <si>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</si>
  <si>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</si>
  <si>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</si>
  <si>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</si>
  <si>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</si>
  <si>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</si>
  <si>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</si>
  <si>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</si>
  <si>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</si>
  <si>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</si>
  <si>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</si>
  <si>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</si>
  <si>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</si>
  <si>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</si>
  <si>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</si>
  <si>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</si>
  <si>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</si>
  <si>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</si>
  <si>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</si>
  <si>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</si>
  <si>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</si>
  <si>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</si>
  <si>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</si>
  <si>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</si>
  <si>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</si>
  <si>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</si>
  <si>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</si>
  <si>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</si>
  <si>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</si>
  <si>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</si>
  <si>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</si>
  <si>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</si>
  <si>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</si>
  <si>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</si>
  <si>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</si>
  <si>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</si>
  <si>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</si>
  <si>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</si>
  <si>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</si>
  <si>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</si>
  <si>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</si>
  <si>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</si>
  <si>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</si>
  <si>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</si>
  <si>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</si>
  <si>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</si>
  <si>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</si>
  <si>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</si>
  <si>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</si>
  <si>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</si>
  <si>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</si>
  <si>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</si>
  <si>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</si>
  <si>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</si>
  <si>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</si>
  <si>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</si>
  <si>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</si>
  <si>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</si>
  <si>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</si>
  <si>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</si>
  <si>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</si>
  <si>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</si>
  <si>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</si>
  <si>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</si>
  <si>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</si>
  <si>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</si>
  <si>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</si>
  <si>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</si>
  <si>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</si>
  <si>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</si>
  <si>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</si>
  <si>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</si>
  <si>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</si>
  <si>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</si>
  <si>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</si>
  <si>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</si>
  <si>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</si>
  <si>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</si>
  <si>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</si>
  <si>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</si>
  <si>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</si>
  <si>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</si>
  <si>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</si>
  <si>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</si>
  <si>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</si>
  <si>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</si>
  <si>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</si>
  <si>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</si>
  <si>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</si>
  <si>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</si>
  <si>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</si>
  <si>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3221 N IL ROUTE 71</t>
  </si>
  <si>
    <t>OTTAWA</t>
  </si>
  <si>
    <t>MIKE MATTESON</t>
  </si>
  <si>
    <t>mmatteson@rutlandgradeschool.org</t>
  </si>
  <si>
    <t>815-433-2949</t>
  </si>
  <si>
    <t>HOPKINS &amp; ASSOCIATES, CPAS</t>
  </si>
  <si>
    <t>KIM BIRD</t>
  </si>
  <si>
    <t>314 S MCCOY STREET</t>
  </si>
  <si>
    <t>GRANVILLE</t>
  </si>
  <si>
    <t>IL</t>
  </si>
  <si>
    <t>815-339-6630</t>
  </si>
  <si>
    <t>815-339-6643</t>
  </si>
  <si>
    <t>066-004501</t>
  </si>
  <si>
    <t>GO BONDS, SERIES 2019</t>
  </si>
  <si>
    <t>BUS LEASE</t>
  </si>
  <si>
    <t xml:space="preserve">HOPKINS &amp; ASSOCIATES, CPAS </t>
  </si>
  <si>
    <t xml:space="preserve">HC BUILDING &amp; LAWN </t>
  </si>
  <si>
    <t>OPERATIONS AND MAINTENANCE - O&amp;M OTHER</t>
  </si>
  <si>
    <t xml:space="preserve">SUPERINTENDENT- WALLACE ELEMENTARY SCHOOL </t>
  </si>
  <si>
    <t xml:space="preserve">WALLACE ELEMENTARY SCHOOL DISTRICT </t>
  </si>
  <si>
    <t xml:space="preserve">COOP THROUGH ROE </t>
  </si>
  <si>
    <t>L.E.A.S.E.</t>
  </si>
  <si>
    <t xml:space="preserve">SOCIAL WORKER AND PHSYCHOLOGIST WITH OTHER DISTRICTS </t>
  </si>
  <si>
    <t>20-3999 E-Rate Matching, $45,000; School Maintenance, $50,000</t>
  </si>
  <si>
    <t>30-5400-6 Bank Fees $500</t>
  </si>
  <si>
    <t xml:space="preserve">Debt Service Error due to Long Term Debt Screen has Bus Leasing included </t>
  </si>
  <si>
    <t>kim@hopkinsoffice.com</t>
  </si>
  <si>
    <t>Bus Lease</t>
  </si>
  <si>
    <t xml:space="preserve">  Rutland CCSD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</si>
</sst>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904875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35050230004</v>
      </c>
      <c r="B13" s="2087"/>
      <c r="C13" s="2087"/>
      <c r="D13" s="2087"/>
      <c r="E13" s="2087"/>
      <c r="F13" s="2087"/>
      <c r="G13" s="2087"/>
      <c r="H13" s="2088"/>
      <c r="I13" s="31"/>
      <c r="J13" s="30"/>
      <c r="K13" s="28"/>
      <c r="L13" s="30"/>
      <c r="M13" s="30"/>
      <c r="N13" s="30"/>
      <c r="O13" s="30"/>
      <c r="P13" s="30"/>
      <c r="Q13" s="30"/>
      <c r="R13" s="30"/>
      <c r="S13" s="30"/>
      <c r="T13" s="2091" t="s">
        <v>2058</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2059</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2081</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2061</v>
      </c>
      <c r="U19" s="2082"/>
      <c r="V19" s="2082"/>
      <c r="W19" s="2083"/>
      <c r="X19" s="2099" t="s">
        <v>2062</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2063</v>
      </c>
      <c r="U21" s="2050"/>
      <c r="V21" s="2050"/>
      <c r="W21" s="2050"/>
      <c r="X21" s="2063" t="s">
        <v>2064</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2056</v>
      </c>
      <c r="B23" s="2105"/>
      <c r="C23" s="2105"/>
      <c r="D23" s="2105"/>
      <c r="E23" s="2105"/>
      <c r="F23" s="2105"/>
      <c r="G23" s="2105"/>
      <c r="H23" s="2106"/>
      <c r="T23" s="2044" t="s">
        <v>2065</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61350</v>
      </c>
      <c r="B25" s="2082"/>
      <c r="C25" s="2082"/>
      <c r="D25" s="2082"/>
      <c r="E25" s="2082"/>
      <c r="F25" s="2082"/>
      <c r="G25" s="2082"/>
      <c r="H25" s="2083"/>
      <c r="I25" s="110"/>
      <c r="J25" s="2148"/>
      <c r="K25" s="2148"/>
      <c r="L25" s="2148"/>
      <c r="M25" s="2148"/>
      <c r="N25" s="2148"/>
      <c r="O25" s="2148"/>
      <c r="P25" s="2148"/>
      <c r="Q25" s="2148"/>
      <c r="R25" s="2148"/>
      <c r="S25" s="2149"/>
      <c r="T25" s="2041" t="s">
        <v>2079</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2056</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592048</v>
      </c>
      <c r="C4" s="1722"/>
      <c r="D4" s="1723">
        <f>B4-C4</f>
        <v>592048</v>
      </c>
      <c r="E4" s="1722">
        <v>636338</v>
      </c>
      <c r="F4" s="1723">
        <f>E4-C4</f>
        <v>636338</v>
      </c>
    </row>
    <row r="5" spans="1:8" ht="13.7" customHeight="1" x14ac:dyDescent="0.2">
      <c r="A5" s="579" t="s">
        <v>865</v>
      </c>
      <c r="B5" s="1724">
        <f>'Revenues 9-14'!D5</f>
        <v>133796</v>
      </c>
      <c r="C5" s="1664"/>
      <c r="D5" s="1725">
        <f t="shared" ref="D5:D18" si="0">B5-C5</f>
        <v>133796</v>
      </c>
      <c r="E5" s="1664">
        <v>143805</v>
      </c>
      <c r="F5" s="1725">
        <f>E5-C5</f>
        <v>143805</v>
      </c>
    </row>
    <row r="6" spans="1:8" ht="13.7" customHeight="1" x14ac:dyDescent="0.2">
      <c r="A6" s="579" t="s">
        <v>408</v>
      </c>
      <c r="B6" s="1724">
        <f>'Revenues 9-14'!E5</f>
        <v>33456</v>
      </c>
      <c r="C6" s="1664"/>
      <c r="D6" s="1725">
        <f t="shared" si="0"/>
        <v>33456</v>
      </c>
      <c r="E6" s="1664">
        <v>33341</v>
      </c>
      <c r="F6" s="1725">
        <f t="shared" ref="F6:F18" si="1">E6-C6</f>
        <v>33341</v>
      </c>
    </row>
    <row r="7" spans="1:8" ht="13.7" customHeight="1" x14ac:dyDescent="0.2">
      <c r="A7" s="579" t="s">
        <v>154</v>
      </c>
      <c r="B7" s="1724">
        <f>'Revenues 9-14'!F5</f>
        <v>40142</v>
      </c>
      <c r="C7" s="1664"/>
      <c r="D7" s="1725">
        <f t="shared" si="0"/>
        <v>40142</v>
      </c>
      <c r="E7" s="1664">
        <v>43142</v>
      </c>
      <c r="F7" s="1725">
        <f t="shared" si="1"/>
        <v>43142</v>
      </c>
    </row>
    <row r="8" spans="1:8" ht="13.7" customHeight="1" x14ac:dyDescent="0.2">
      <c r="A8" s="579" t="s">
        <v>1169</v>
      </c>
      <c r="B8" s="1724">
        <f>'Revenues 9-14'!G5</f>
        <v>17153</v>
      </c>
      <c r="C8" s="1664"/>
      <c r="D8" s="1725">
        <f t="shared" si="0"/>
        <v>17153</v>
      </c>
      <c r="E8" s="1664">
        <v>17501</v>
      </c>
      <c r="F8" s="1725">
        <f t="shared" si="1"/>
        <v>17501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16728</v>
      </c>
      <c r="C10" s="1664"/>
      <c r="D10" s="1725">
        <f t="shared" si="0"/>
        <v>16728</v>
      </c>
      <c r="E10" s="1664">
        <v>17976</v>
      </c>
      <c r="F10" s="1725">
        <f t="shared" si="1"/>
        <v>17976</v>
      </c>
    </row>
    <row r="11" spans="1:8" x14ac:dyDescent="0.2">
      <c r="A11" s="579" t="s">
        <v>406</v>
      </c>
      <c r="B11" s="1724">
        <f>'Revenues 9-14'!J5</f>
        <v>67586</v>
      </c>
      <c r="C11" s="1664"/>
      <c r="D11" s="1725">
        <f t="shared" si="0"/>
        <v>67586</v>
      </c>
      <c r="E11" s="1664">
        <v>67006</v>
      </c>
      <c r="F11" s="1725">
        <f t="shared" si="1"/>
        <v>67006</v>
      </c>
    </row>
    <row r="12" spans="1:8" ht="13.7" customHeight="1" x14ac:dyDescent="0.2">
      <c r="A12" s="579" t="s">
        <v>156</v>
      </c>
      <c r="B12" s="1724">
        <f>'Revenues 9-14'!K5</f>
        <v>16728</v>
      </c>
      <c r="C12" s="1664"/>
      <c r="D12" s="1725">
        <f t="shared" si="0"/>
        <v>16728</v>
      </c>
      <c r="E12" s="1664">
        <v>17976</v>
      </c>
      <c r="F12" s="1725">
        <f t="shared" si="1"/>
        <v>17976</v>
      </c>
    </row>
    <row r="13" spans="1:8" ht="13.7" customHeight="1" x14ac:dyDescent="0.2">
      <c r="A13" s="579" t="s">
        <v>930</v>
      </c>
      <c r="B13" s="1724">
        <f>SUM('Revenues 9-14'!C6:D6)</f>
        <v>16728</v>
      </c>
      <c r="C13" s="1664"/>
      <c r="D13" s="1725">
        <f t="shared" si="0"/>
        <v>16728</v>
      </c>
      <c r="E13" s="1664">
        <v>17976</v>
      </c>
      <c r="F13" s="1725">
        <f t="shared" si="1"/>
        <v>17976</v>
      </c>
    </row>
    <row r="14" spans="1:8" ht="13.7" customHeight="1" x14ac:dyDescent="0.2">
      <c r="A14" s="579" t="s">
        <v>407</v>
      </c>
      <c r="B14" s="1724">
        <f>SUM('Revenues 9-14'!C7:D7,'Revenues 9-14'!F7:H7)</f>
        <v>6692</v>
      </c>
      <c r="C14" s="1664"/>
      <c r="D14" s="1725">
        <f t="shared" si="0"/>
        <v>6692</v>
      </c>
      <c r="E14" s="1664">
        <v>7190</v>
      </c>
      <c r="F14" s="1725">
        <f t="shared" si="1"/>
        <v>7190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27742</v>
      </c>
      <c r="C16" s="1664"/>
      <c r="D16" s="1725">
        <f t="shared" si="0"/>
        <v>27742</v>
      </c>
      <c r="E16" s="1664">
        <v>28002</v>
      </c>
      <c r="F16" s="1725">
        <f t="shared" si="1"/>
        <v>28002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968799</v>
      </c>
      <c r="C19" s="1726">
        <f>SUM(C4:C18)</f>
        <v>0</v>
      </c>
      <c r="D19" s="1726">
        <f>SUM(D4:D18)</f>
        <v>968799</v>
      </c>
      <c r="E19" s="1726">
        <f>SUM(E4:E18)</f>
        <v>1030253</v>
      </c>
      <c r="F19" s="1726">
        <f>SUM(F4:F18)</f>
        <v>1030253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43522</v>
      </c>
      <c r="C31" s="1734">
        <v>289000</v>
      </c>
      <c r="D31" s="1735">
        <v>4</v>
      </c>
      <c r="E31" s="1734">
        <v>289000</v>
      </c>
      <c r="F31" s="1734"/>
      <c r="G31" s="1734"/>
      <c r="H31" s="1734">
        <v>19000</v>
      </c>
      <c r="I31" s="1736">
        <f>((E31+F31)-H31)+G31</f>
        <v>270000</v>
      </c>
      <c r="J31" s="1734">
        <f>270000-2839</f>
        <v>267161</v>
      </c>
      <c r="K31" s="596"/>
    </row>
    <row r="32" spans="1:11" ht="12" customHeight="1" x14ac:dyDescent="0.2">
      <c r="A32" s="594" t="s">
        <v>2067</v>
      </c>
      <c r="B32" s="595">
        <v>42487</v>
      </c>
      <c r="C32" s="1734">
        <v>87080</v>
      </c>
      <c r="D32" s="1735">
        <v>7</v>
      </c>
      <c r="E32" s="1734">
        <v>56204</v>
      </c>
      <c r="F32" s="1734"/>
      <c r="G32" s="1734"/>
      <c r="H32" s="1734">
        <v>10229</v>
      </c>
      <c r="I32" s="1736">
        <f>((E32+F32)-H32)+G32</f>
        <v>45975</v>
      </c>
      <c r="J32" s="1734">
        <v>45975</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376080</v>
      </c>
      <c r="D49" s="1742"/>
      <c r="E49" s="1736">
        <f t="shared" ref="E49:J49" si="2">SUM(E31:E48)</f>
        <v>345204</v>
      </c>
      <c r="F49" s="1736">
        <f t="shared" si="2"/>
        <v>0</v>
      </c>
      <c r="G49" s="1736">
        <f t="shared" si="2"/>
        <v>0</v>
      </c>
      <c r="H49" s="1736">
        <f t="shared" si="2"/>
        <v>29229</v>
      </c>
      <c r="I49" s="1736">
        <f t="shared" si="2"/>
        <v>315975</v>
      </c>
      <c r="J49" s="1736">
        <f t="shared" si="2"/>
        <v>313136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2080</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6692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6692</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6692</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6692</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5000</v>
      </c>
      <c r="D5" s="1770"/>
      <c r="E5" s="1770"/>
      <c r="F5" s="1765">
        <f>(C5+D5)-E5</f>
        <v>5000</v>
      </c>
      <c r="G5" s="676"/>
      <c r="H5" s="680"/>
      <c r="I5" s="680"/>
      <c r="J5" s="680"/>
      <c r="K5" s="637"/>
      <c r="L5" s="1442">
        <f>F5-K5</f>
        <v>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1087546</v>
      </c>
      <c r="D8" s="1771">
        <v>508190</v>
      </c>
      <c r="E8" s="1771"/>
      <c r="F8" s="1765">
        <f>(C8+D8)-E8</f>
        <v>1595736</v>
      </c>
      <c r="G8" s="681">
        <v>50</v>
      </c>
      <c r="H8" s="619">
        <v>494111</v>
      </c>
      <c r="I8" s="619">
        <f>11746+45853</f>
        <v>57599</v>
      </c>
      <c r="J8" s="619"/>
      <c r="K8" s="1442">
        <f>(H8+I8)-J8</f>
        <v>551710</v>
      </c>
      <c r="L8" s="1442">
        <f>F8-K8</f>
        <v>1044026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14429</v>
      </c>
      <c r="D10" s="1772"/>
      <c r="E10" s="1772"/>
      <c r="F10" s="1773">
        <f>(C10+D10)-E10</f>
        <v>14429</v>
      </c>
      <c r="G10" s="681">
        <v>20</v>
      </c>
      <c r="H10" s="683">
        <v>14429</v>
      </c>
      <c r="I10" s="683"/>
      <c r="J10" s="683"/>
      <c r="K10" s="1442">
        <f>(H10+I10)-J10</f>
        <v>14429</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162733</v>
      </c>
      <c r="D12" s="1771">
        <v>10844</v>
      </c>
      <c r="E12" s="1771"/>
      <c r="F12" s="1765">
        <f>(C12+D12)-E12</f>
        <v>173577</v>
      </c>
      <c r="G12" s="681">
        <v>10</v>
      </c>
      <c r="H12" s="619">
        <v>157439</v>
      </c>
      <c r="I12" s="619">
        <v>2117</v>
      </c>
      <c r="J12" s="619"/>
      <c r="K12" s="1442">
        <f>(H12+I12)-J12</f>
        <v>159556</v>
      </c>
      <c r="L12" s="1442">
        <f>F12-K12</f>
        <v>14021</v>
      </c>
    </row>
    <row r="13" spans="1:14" ht="14.25" thickTop="1" thickBot="1" x14ac:dyDescent="0.25">
      <c r="A13" s="684" t="s">
        <v>1112</v>
      </c>
      <c r="B13" s="679">
        <v>252</v>
      </c>
      <c r="C13" s="1771">
        <v>78950</v>
      </c>
      <c r="D13" s="1771"/>
      <c r="E13" s="1771"/>
      <c r="F13" s="1765">
        <f>(C13+D13)-E13</f>
        <v>78950</v>
      </c>
      <c r="G13" s="681">
        <v>5</v>
      </c>
      <c r="H13" s="619">
        <v>57887</v>
      </c>
      <c r="I13" s="619">
        <f>7955+1084</f>
        <v>9039</v>
      </c>
      <c r="J13" s="619"/>
      <c r="K13" s="1442">
        <f>(H13+I13)-J13</f>
        <v>66926</v>
      </c>
      <c r="L13" s="1442">
        <f>F13-K13</f>
        <v>12024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1348658</v>
      </c>
      <c r="D16" s="1765">
        <f>SUM(D3,D5:D6,D8:D10,D12:D15)</f>
        <v>519034</v>
      </c>
      <c r="E16" s="1765">
        <f>SUM(E3,E5:E6,E8:E10,E12:E15)</f>
        <v>0</v>
      </c>
      <c r="F16" s="1765">
        <f>SUM(F3,F5:F6,F8:F10,F12:F15)</f>
        <v>1867692</v>
      </c>
      <c r="G16" s="681"/>
      <c r="H16" s="1435">
        <f>SUM(H3,H6,H8:H10,H12:H14,)</f>
        <v>723866</v>
      </c>
      <c r="I16" s="1435">
        <f>SUM(I3,I6,I8:I10,I12:I14,)</f>
        <v>68755</v>
      </c>
      <c r="J16" s="1435">
        <f>SUM(J3,J6,J8:J10,J12:J14,)</f>
        <v>0</v>
      </c>
      <c r="K16" s="1435">
        <f>(H16+I16)-J16</f>
        <v>792621</v>
      </c>
      <c r="L16" s="1435">
        <f>F16-K16</f>
        <v>1075071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68755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5"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1084905</v>
      </c>
      <c r="G8" s="701"/>
    </row>
    <row r="9" spans="1:9" x14ac:dyDescent="0.2">
      <c r="A9" s="705" t="s">
        <v>457</v>
      </c>
      <c r="B9" s="706" t="s">
        <v>1848</v>
      </c>
      <c r="C9" s="707"/>
      <c r="D9" s="705" t="s">
        <v>498</v>
      </c>
      <c r="E9" s="704"/>
      <c r="F9" s="1775">
        <f>'Expenditures 15-22'!K151</f>
        <v>127126</v>
      </c>
      <c r="G9" s="708"/>
    </row>
    <row r="10" spans="1:9" x14ac:dyDescent="0.2">
      <c r="A10" s="705" t="s">
        <v>496</v>
      </c>
      <c r="B10" s="706" t="s">
        <v>1849</v>
      </c>
      <c r="C10" s="707"/>
      <c r="D10" s="705" t="s">
        <v>498</v>
      </c>
      <c r="E10" s="704"/>
      <c r="F10" s="1775">
        <f>'Expenditures 15-22'!K174</f>
        <v>33666</v>
      </c>
      <c r="G10" s="708"/>
    </row>
    <row r="11" spans="1:9" x14ac:dyDescent="0.2">
      <c r="A11" s="705" t="s">
        <v>458</v>
      </c>
      <c r="B11" s="706" t="s">
        <v>1850</v>
      </c>
      <c r="C11" s="707"/>
      <c r="D11" s="705" t="s">
        <v>498</v>
      </c>
      <c r="E11" s="704"/>
      <c r="F11" s="1775">
        <f>'Expenditures 15-22'!K210</f>
        <v>88570</v>
      </c>
      <c r="G11" s="708"/>
    </row>
    <row r="12" spans="1:9" x14ac:dyDescent="0.2">
      <c r="A12" s="705" t="s">
        <v>459</v>
      </c>
      <c r="B12" s="706" t="s">
        <v>1851</v>
      </c>
      <c r="C12" s="707"/>
      <c r="D12" s="705" t="s">
        <v>498</v>
      </c>
      <c r="E12" s="704"/>
      <c r="F12" s="1775">
        <f>'Expenditures 15-22'!K295</f>
        <v>46925</v>
      </c>
      <c r="G12" s="708"/>
    </row>
    <row r="13" spans="1:9" x14ac:dyDescent="0.2">
      <c r="A13" s="705" t="s">
        <v>106</v>
      </c>
      <c r="B13" s="706" t="s">
        <v>1852</v>
      </c>
      <c r="C13" s="707"/>
      <c r="D13" s="705" t="s">
        <v>498</v>
      </c>
      <c r="E13" s="704"/>
      <c r="F13" s="1775">
        <f>'Expenditures 15-22'!K342</f>
        <v>54127</v>
      </c>
      <c r="G13" s="709"/>
    </row>
    <row r="14" spans="1:9" ht="12" customHeight="1" thickBot="1" x14ac:dyDescent="0.25">
      <c r="A14" s="1443"/>
      <c r="B14" s="1444"/>
      <c r="C14" s="1445"/>
      <c r="D14" s="1446" t="s">
        <v>498</v>
      </c>
      <c r="E14" s="1447" t="s">
        <v>952</v>
      </c>
      <c r="F14" s="1776">
        <f>SUM(F8:F13)</f>
        <v>1435319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4878</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55240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180</v>
      </c>
      <c r="G52" s="701"/>
    </row>
    <row r="53" spans="1:7" x14ac:dyDescent="0.2">
      <c r="A53" s="705" t="s">
        <v>456</v>
      </c>
      <c r="B53" s="705" t="s">
        <v>1458</v>
      </c>
      <c r="C53" s="724">
        <f>'Expenditures 15-22'!B102</f>
        <v>4000</v>
      </c>
      <c r="D53" s="723" t="str">
        <f>'Expenditures 15-22'!A102</f>
        <v>Total Payments to Other Govt Units</v>
      </c>
      <c r="E53" s="704"/>
      <c r="F53" s="1782">
        <f>'Expenditures 15-22'!K102</f>
        <v>41436</v>
      </c>
      <c r="G53" s="701"/>
    </row>
    <row r="54" spans="1:7" x14ac:dyDescent="0.2">
      <c r="A54" s="705" t="s">
        <v>456</v>
      </c>
      <c r="B54" s="705" t="s">
        <v>1459</v>
      </c>
      <c r="C54" s="724" t="s">
        <v>975</v>
      </c>
      <c r="D54" s="720" t="s">
        <v>1086</v>
      </c>
      <c r="E54" s="704"/>
      <c r="F54" s="1782">
        <f>'Expenditures 15-22'!G114</f>
        <v>10844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10229</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38</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141845</v>
      </c>
      <c r="G77" s="701"/>
    </row>
    <row r="78" spans="1:9" s="728" customFormat="1" ht="12" customHeight="1" thickTop="1" thickBot="1" x14ac:dyDescent="0.25">
      <c r="A78" s="1450"/>
      <c r="B78" s="1448"/>
      <c r="C78" s="1445"/>
      <c r="D78" s="1449" t="s">
        <v>2012</v>
      </c>
      <c r="E78" s="1447"/>
      <c r="F78" s="1788">
        <f>(F14-F77)</f>
        <v>1293474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65.5</v>
      </c>
      <c r="G79" s="733"/>
      <c r="H79" s="705"/>
      <c r="I79" s="705"/>
    </row>
    <row r="80" spans="1:9" s="728" customFormat="1" ht="12" customHeight="1" thickBot="1" x14ac:dyDescent="0.25">
      <c r="A80" s="1452"/>
      <c r="B80" s="1448"/>
      <c r="C80" s="1445"/>
      <c r="D80" s="1449" t="s">
        <v>2013</v>
      </c>
      <c r="E80" s="1447" t="s">
        <v>952</v>
      </c>
      <c r="F80" s="1790">
        <f>IF(F79&gt;0,F78/F79," Complete Line 79")</f>
        <v>19747.694656488551</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13131</v>
      </c>
      <c r="G95" s="745"/>
    </row>
    <row r="96" spans="1:7" x14ac:dyDescent="0.2">
      <c r="A96" s="741" t="s">
        <v>139</v>
      </c>
      <c r="B96" s="741" t="s">
        <v>174</v>
      </c>
      <c r="C96" s="743">
        <v>1700</v>
      </c>
      <c r="D96" s="751" t="str">
        <f>'Revenues 9-14'!A82</f>
        <v>Total District/School Activity Income</v>
      </c>
      <c r="E96" s="739"/>
      <c r="F96" s="1793">
        <f>SUM('Revenues 9-14'!C82,'Revenues 9-14'!D82)</f>
        <v>10967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19724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117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60099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45000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8266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27670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23090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4886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1955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2010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22991</v>
      </c>
      <c r="G171" s="760"/>
    </row>
    <row r="172" spans="1:7" x14ac:dyDescent="0.2">
      <c r="A172" s="1529" t="s">
        <v>5</v>
      </c>
      <c r="B172" s="1530" t="s">
        <v>1885</v>
      </c>
      <c r="C172" s="1531">
        <v>3100</v>
      </c>
      <c r="D172" s="1532" t="s">
        <v>1887</v>
      </c>
      <c r="E172" s="739"/>
      <c r="F172" s="1794">
        <v>26963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316869</v>
      </c>
    </row>
    <row r="176" spans="1:7" ht="12" customHeight="1" x14ac:dyDescent="0.2">
      <c r="A176" s="1443"/>
      <c r="B176" s="1453"/>
      <c r="C176" s="1454"/>
      <c r="D176" s="1455" t="s">
        <v>2014</v>
      </c>
      <c r="E176" s="1456"/>
      <c r="F176" s="1793">
        <f>'PCTC-OEPP 27-28'!F78-F175</f>
        <v>976605</v>
      </c>
    </row>
    <row r="177" spans="1:9" ht="12" customHeight="1" x14ac:dyDescent="0.2">
      <c r="A177" s="1443"/>
      <c r="B177" s="1453"/>
      <c r="C177" s="1454"/>
      <c r="D177" s="1455" t="s">
        <v>1794</v>
      </c>
      <c r="E177" s="1456"/>
      <c r="F177" s="1793">
        <f>'Cap Outlay Deprec 26'!I18</f>
        <v>68755</v>
      </c>
    </row>
    <row r="178" spans="1:9" ht="12" customHeight="1" x14ac:dyDescent="0.2">
      <c r="A178" s="1443"/>
      <c r="B178" s="1453"/>
      <c r="C178" s="1454"/>
      <c r="D178" s="1455" t="s">
        <v>2015</v>
      </c>
      <c r="E178" s="1456"/>
      <c r="F178" s="1793">
        <f>F176+F177</f>
        <v>1045360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65.5</v>
      </c>
      <c r="G179" s="763"/>
      <c r="I179" s="701"/>
    </row>
    <row r="180" spans="1:9" ht="12" customHeight="1" thickBot="1" x14ac:dyDescent="0.25">
      <c r="A180" s="1443"/>
      <c r="B180" s="1457"/>
      <c r="C180" s="1454"/>
      <c r="D180" s="1455" t="s">
        <v>2017</v>
      </c>
      <c r="E180" s="1456" t="s">
        <v>1528</v>
      </c>
      <c r="F180" s="1798">
        <f>F178/F179</f>
        <v>15959.694656488549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C19" sqref="C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v>202540300</v>
      </c>
      <c r="C18" s="2035" t="s">
        <v>2069</v>
      </c>
      <c r="D18" s="1886">
        <v>5220</v>
      </c>
      <c r="E18" s="1906">
        <f t="shared" ref="E18:E81" si="0">IF(D18&lt;25000,D18,"25,000")</f>
        <v>5220</v>
      </c>
      <c r="F18" s="1906" t="str">
        <f t="shared" ref="F18:F81" si="1">IF(D18&gt;=25000,(D18-E18),"0")</f>
        <v>0</v>
      </c>
      <c r="G18" s="1887"/>
    </row>
    <row r="19" spans="1:7" x14ac:dyDescent="0.25">
      <c r="A19" s="2036"/>
      <c r="B19" s="1908"/>
      <c r="C19" s="203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5220</v>
      </c>
      <c r="E142" s="1893">
        <f>SUM(E18:E141)</f>
        <v>5220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875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802922</v>
      </c>
      <c r="F19" s="1802"/>
      <c r="G19" s="1804">
        <f>'Expenditures 15-22'!K33-SUM('Expenditures 15-22'!G33,'Expenditures 15-22'!I33)+'Expenditures 15-22'!D229</f>
        <v>802922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159264</v>
      </c>
      <c r="F23" s="1805"/>
      <c r="G23" s="1807">
        <f>'Expenditures 15-22'!K53-SUM('Expenditures 15-22'!G53,'Expenditures 15-22'!I53)+'Expenditures 15-22'!D257+'Expenditures 15-22'!K330-SUM('Expenditures 15-22'!G330,'Expenditures 15-22'!I330)</f>
        <v>159264</v>
      </c>
      <c r="H23" s="817"/>
      <c r="I23" s="157"/>
    </row>
    <row r="24" spans="1:9" s="542" customFormat="1" ht="12" customHeight="1" x14ac:dyDescent="0.2">
      <c r="A24" s="824" t="s">
        <v>562</v>
      </c>
      <c r="B24" s="825"/>
      <c r="C24" s="823">
        <v>2400</v>
      </c>
      <c r="D24" s="1805"/>
      <c r="E24" s="1807">
        <f>'Expenditures 15-22'!K57-SUM('Expenditures 15-22'!G57,'Expenditures 15-22'!I57)+'Expenditures 15-22'!D261</f>
        <v>97971</v>
      </c>
      <c r="F24" s="1805"/>
      <c r="G24" s="1808">
        <f>'Expenditures 15-22'!K57-SUM('Expenditures 15-22'!G57,'Expenditures 15-22'!I57)+'Expenditures 15-22'!D261</f>
        <v>97971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12816</v>
      </c>
      <c r="E27" s="1807">
        <f>E8</f>
        <v>0</v>
      </c>
      <c r="F27" s="1807">
        <f>'Expenditures 15-22'!K60-SUM('Expenditures 15-22'!G60,'Expenditures 15-22'!I60)+'Expenditures 15-22'!D264-E8</f>
        <v>12816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135079</v>
      </c>
      <c r="F28" s="1809">
        <f>'Expenditures 15-22'!K61-SUM('Expenditures 15-22'!G61,'Expenditures 15-22'!I61)+'Expenditures 15-22'!K124-SUM('Expenditures 15-22'!G124,'Expenditures 15-22'!I124)+'Expenditures 15-22'!D266-E9</f>
        <v>135079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85378</v>
      </c>
      <c r="F29" s="1805"/>
      <c r="G29" s="1808">
        <f>'Expenditures 15-22'!K62-SUM('Expenditures 15-22'!G62,'Expenditures 15-22'!I62)+'Expenditures 15-22'!K125-SUM('Expenditures 15-22'!G125,'Expenditures 15-22'!I125)+'Expenditures 15-22'!K182-SUM('Expenditures 15-22'!G182,'Expenditures 15-22'!I182)+'Expenditures 15-22'!D267</f>
        <v>85378</v>
      </c>
      <c r="H29" s="815"/>
    </row>
    <row r="30" spans="1:9" ht="12" customHeight="1" x14ac:dyDescent="0.2">
      <c r="A30" s="824" t="s">
        <v>100</v>
      </c>
      <c r="B30" s="827"/>
      <c r="C30" s="823">
        <v>2560</v>
      </c>
      <c r="D30" s="1805"/>
      <c r="E30" s="1807">
        <f>'Expenditures 15-22'!K63-SUM('Expenditures 15-22'!G63,'Expenditures 15-22'!I63)+'Expenditures 15-22'!D268-E10</f>
        <v>44972</v>
      </c>
      <c r="F30" s="1805"/>
      <c r="G30" s="1807">
        <f>'Expenditures 15-22'!K63-SUM('Expenditures 15-22'!G63,'Expenditures 15-22'!I63)+'Expenditures 15-22'!D268-E10</f>
        <v>44972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180</v>
      </c>
      <c r="F39" s="1805"/>
      <c r="G39" s="1807">
        <f>'Expenditures 15-22'!K75-SUM('Expenditures 15-22'!G75,'Expenditures 15-22'!I75)+'Expenditures 15-22'!K130-SUM('Expenditures 15-22'!G130,'Expenditures 15-22'!I130)+'Expenditures 15-22'!K185-SUM('Expenditures 15-22'!G185,'Expenditures 15-22'!I185)+'Expenditures 15-22'!D280</f>
        <v>180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12816</v>
      </c>
      <c r="E41" s="1809">
        <f>SUM(E19:E40)</f>
        <v>1325766</v>
      </c>
      <c r="F41" s="1809">
        <f>SUM(F19:F39)</f>
        <v>147895</v>
      </c>
      <c r="G41" s="1809">
        <f>SUM(G19:G40)</f>
        <v>1190687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12816</v>
      </c>
      <c r="F43" s="1458" t="s">
        <v>470</v>
      </c>
      <c r="G43" s="1810">
        <f>F41</f>
        <v>147895</v>
      </c>
    </row>
    <row r="44" spans="1:7" ht="12" customHeight="1" x14ac:dyDescent="0.2">
      <c r="A44" s="817"/>
      <c r="B44" s="157"/>
      <c r="C44" s="831"/>
      <c r="D44" s="1458" t="s">
        <v>471</v>
      </c>
      <c r="E44" s="1810">
        <f>E41</f>
        <v>1325766</v>
      </c>
      <c r="F44" s="1458" t="s">
        <v>471</v>
      </c>
      <c r="G44" s="1810">
        <f>G41</f>
        <v>1190687</v>
      </c>
    </row>
    <row r="45" spans="1:7" ht="12" customHeight="1" x14ac:dyDescent="0.2">
      <c r="A45" s="817"/>
      <c r="B45" s="157"/>
      <c r="C45" s="157"/>
      <c r="D45" s="1459" t="s">
        <v>999</v>
      </c>
      <c r="E45" s="1811">
        <f>(E43/E44)</f>
        <v>9.6668642882680646E-3</v>
      </c>
      <c r="F45" s="1459" t="s">
        <v>999</v>
      </c>
      <c r="G45" s="1811">
        <f>(G43/G44)</f>
        <v>0.12420980492774339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3" sqref="F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Rutland CCSD 230</v>
      </c>
      <c r="D6" s="2404"/>
      <c r="E6" s="2404"/>
      <c r="F6" s="1482"/>
      <c r="G6" s="1507"/>
      <c r="L6" s="1507"/>
      <c r="M6" s="1855"/>
      <c r="N6" s="1855"/>
      <c r="O6" s="1855"/>
    </row>
    <row r="7" spans="1:15" ht="11.25" customHeight="1" thickBot="1" x14ac:dyDescent="0.3">
      <c r="A7" s="1480"/>
      <c r="B7" s="1481"/>
      <c r="C7" s="2405">
        <f>COVER!A13</f>
        <v>35050230004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2071</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t="s">
        <v>2072</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2073</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2072</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1497" t="s">
        <v>2072</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2051</v>
      </c>
      <c r="D29" s="1495" t="s">
        <v>2051</v>
      </c>
      <c r="E29" s="1498"/>
      <c r="F29" s="1497" t="s">
        <v>2072</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2051</v>
      </c>
      <c r="D30" s="1495" t="s">
        <v>2051</v>
      </c>
      <c r="E30" s="1498"/>
      <c r="F30" s="1497" t="s">
        <v>2072</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2051</v>
      </c>
      <c r="D32" s="1495" t="s">
        <v>2051</v>
      </c>
      <c r="E32" s="1498"/>
      <c r="F32" s="1497" t="s">
        <v>2074</v>
      </c>
      <c r="G32" s="1507"/>
      <c r="H32" s="1507">
        <f t="shared" si="0"/>
        <v>5</v>
      </c>
      <c r="I32" s="1507">
        <f t="shared" si="1"/>
        <v>5</v>
      </c>
      <c r="J32" s="1507">
        <f t="shared" si="2"/>
        <v>0</v>
      </c>
      <c r="L32" s="1507"/>
      <c r="M32" s="1855"/>
      <c r="N32" s="1855"/>
      <c r="O32" s="1855"/>
    </row>
    <row r="33" spans="1:15" ht="12" customHeight="1" x14ac:dyDescent="0.2">
      <c r="A33" s="1493" t="s">
        <v>1524</v>
      </c>
      <c r="B33" s="1494"/>
      <c r="C33" s="1495" t="s">
        <v>2051</v>
      </c>
      <c r="D33" s="1495" t="s">
        <v>2051</v>
      </c>
      <c r="E33" s="1498"/>
      <c r="F33" s="1497" t="s">
        <v>2075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0</v>
      </c>
      <c r="K34" s="1507">
        <f>SUM(H34:J34)</f>
        <v>100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2"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Rutland CCSD 230</v>
      </c>
      <c r="K6" s="2420"/>
      <c r="L6" s="2421"/>
      <c r="M6" s="838"/>
      <c r="N6" s="1998"/>
    </row>
    <row r="7" spans="1:14" x14ac:dyDescent="0.2">
      <c r="A7" s="2422" t="s">
        <v>864</v>
      </c>
      <c r="B7" s="2423"/>
      <c r="C7" s="2423"/>
      <c r="D7" s="2423"/>
      <c r="E7" s="2424"/>
      <c r="F7" s="839"/>
      <c r="G7" s="838"/>
      <c r="H7" s="838"/>
      <c r="I7" s="1924" t="s">
        <v>369</v>
      </c>
      <c r="J7" s="2425">
        <f>COVER!A13</f>
        <v>35050230004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75897</v>
      </c>
      <c r="F12" s="1942"/>
      <c r="G12" s="1968">
        <f>G68</f>
        <v>3142</v>
      </c>
      <c r="H12" s="1944">
        <f t="shared" ref="H12:H18" si="0">SUM(E12:G12)</f>
        <v>79039</v>
      </c>
      <c r="I12" s="1943">
        <v>76795</v>
      </c>
      <c r="J12" s="1942"/>
      <c r="K12" s="1943">
        <v>3250</v>
      </c>
      <c r="L12" s="1944">
        <f t="shared" ref="L12:L18" si="1">SUM(I12:K12)</f>
        <v>80045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75897</v>
      </c>
      <c r="F19" s="1950">
        <f t="shared" si="2"/>
        <v>0</v>
      </c>
      <c r="G19" s="1950">
        <f t="shared" ref="G19" si="3">SUM(G12:G17)-G18</f>
        <v>3142</v>
      </c>
      <c r="H19" s="1950">
        <f t="shared" si="2"/>
        <v>79039</v>
      </c>
      <c r="I19" s="1950">
        <f t="shared" si="2"/>
        <v>76795</v>
      </c>
      <c r="J19" s="1950">
        <f t="shared" si="2"/>
        <v>0</v>
      </c>
      <c r="K19" s="1950">
        <f t="shared" si="2"/>
        <v>3250</v>
      </c>
      <c r="L19" s="1950">
        <f t="shared" si="2"/>
        <v>80045</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1.2727893824567618E-2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Rutland CCSD 230</v>
      </c>
      <c r="M52" s="2420"/>
      <c r="N52" s="2450"/>
    </row>
    <row r="53" spans="1:14" x14ac:dyDescent="0.2">
      <c r="A53" s="1982"/>
      <c r="B53" s="1983"/>
      <c r="C53" s="1983"/>
      <c r="D53" s="1983"/>
      <c r="E53" s="1983"/>
      <c r="F53" s="1983"/>
      <c r="G53" s="1983"/>
      <c r="H53" s="1983"/>
      <c r="I53" s="1983"/>
      <c r="J53" s="1983"/>
      <c r="K53" s="1924" t="s">
        <v>369</v>
      </c>
      <c r="L53" s="2425">
        <f>J7</f>
        <v>35050230004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9202</v>
      </c>
      <c r="F58" s="1972"/>
      <c r="G58" s="2031"/>
      <c r="H58" s="2032"/>
      <c r="I58" s="2032"/>
      <c r="J58" s="2032"/>
      <c r="K58" s="2032"/>
      <c r="L58" s="2032"/>
      <c r="M58" s="2032">
        <v>9202</v>
      </c>
      <c r="N58" s="1975">
        <f>IF((SUM(G58:M58))=E58,SUM(G58:M58),"Column N does not agree with Column E")</f>
        <v>9202</v>
      </c>
    </row>
    <row r="59" spans="1:14" ht="24.75" customHeight="1" x14ac:dyDescent="0.2">
      <c r="A59" s="2461" t="s">
        <v>297</v>
      </c>
      <c r="B59" s="2462"/>
      <c r="C59" s="2462"/>
      <c r="D59" s="1967">
        <v>2363</v>
      </c>
      <c r="E59" s="1977">
        <f>'Expenditures 15-22'!K321</f>
        <v>1758</v>
      </c>
      <c r="F59" s="1972"/>
      <c r="G59" s="2031"/>
      <c r="H59" s="2032"/>
      <c r="I59" s="2032"/>
      <c r="J59" s="2032"/>
      <c r="K59" s="2032"/>
      <c r="L59" s="2032"/>
      <c r="M59" s="2032">
        <v>1758</v>
      </c>
      <c r="N59" s="1975">
        <f>IF((SUM(G59:M59))=E59,SUM(G59:M59),"Column N does not agree with Column E")</f>
        <v>1758</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v>13095</v>
      </c>
      <c r="N60" s="1975" t="str">
        <f t="shared" ref="N60:N67" si="4">IF((SUM(G60:M60))=E60,SUM(G60:M60),"Column N does not agree with Column E")</f>
        <v>Column N does not agree with Column E</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27297</v>
      </c>
      <c r="F63" s="1972"/>
      <c r="G63" s="2031">
        <v>3142</v>
      </c>
      <c r="H63" s="2032"/>
      <c r="I63" s="2032"/>
      <c r="J63" s="2032"/>
      <c r="K63" s="2032"/>
      <c r="L63" s="2032"/>
      <c r="M63" s="2032">
        <f>27297-3142</f>
        <v>24155</v>
      </c>
      <c r="N63" s="1975">
        <f t="shared" si="4"/>
        <v>27297</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2775</v>
      </c>
      <c r="F65" s="1972"/>
      <c r="G65" s="2031"/>
      <c r="H65" s="2032"/>
      <c r="I65" s="2032"/>
      <c r="J65" s="2032"/>
      <c r="K65" s="2032"/>
      <c r="L65" s="2032"/>
      <c r="M65" s="2032">
        <v>2775</v>
      </c>
      <c r="N65" s="1975">
        <f t="shared" si="4"/>
        <v>2775</v>
      </c>
    </row>
    <row r="66" spans="1:14" ht="24" customHeight="1" x14ac:dyDescent="0.2">
      <c r="A66" s="2461" t="s">
        <v>469</v>
      </c>
      <c r="B66" s="2462"/>
      <c r="C66" s="2462"/>
      <c r="D66" s="1967">
        <v>2371</v>
      </c>
      <c r="E66" s="1977">
        <f>'Expenditures 15-22'!K328</f>
        <v>13095</v>
      </c>
      <c r="F66" s="1972"/>
      <c r="G66" s="2031"/>
      <c r="H66" s="2032"/>
      <c r="I66" s="2032"/>
      <c r="J66" s="2032"/>
      <c r="K66" s="2032"/>
      <c r="L66" s="2032"/>
      <c r="M66" s="2032"/>
      <c r="N66" s="1975" t="str">
        <f t="shared" si="4"/>
        <v>Column N does not agree with Column E</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54127</v>
      </c>
      <c r="F68" s="1973"/>
      <c r="G68" s="1974">
        <f t="shared" ref="G68:N68" si="5">SUM(G57:G67)</f>
        <v>3142</v>
      </c>
      <c r="H68" s="1974">
        <f t="shared" si="5"/>
        <v>0</v>
      </c>
      <c r="I68" s="1974">
        <f t="shared" si="5"/>
        <v>0</v>
      </c>
      <c r="J68" s="1974">
        <f t="shared" si="5"/>
        <v>0</v>
      </c>
      <c r="K68" s="1974">
        <f t="shared" si="5"/>
        <v>0</v>
      </c>
      <c r="L68" s="1974">
        <f t="shared" si="5"/>
        <v>0</v>
      </c>
      <c r="M68" s="1974">
        <f t="shared" si="5"/>
        <v>50985</v>
      </c>
      <c r="N68" s="1988">
        <f t="shared" si="5"/>
        <v>41032</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A8" sqref="A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v>3</v>
      </c>
      <c r="B7" s="307" t="s">
        <v>2078</v>
      </c>
    </row>
    <row r="8" spans="1:2" x14ac:dyDescent="0.2">
      <c r="A8" s="848"/>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Rutland CCSD 230</v>
      </c>
    </row>
    <row r="64" spans="1:2" x14ac:dyDescent="0.2">
      <c r="B64" s="849">
        <f>COVER!A13</f>
        <v>35050230004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904875</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J20" sqref="J2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1153677</v>
      </c>
      <c r="C8" s="1813">
        <f>'Acct Summary 7-8'!D8</f>
        <v>250869</v>
      </c>
      <c r="D8" s="1813">
        <f>'Acct Summary 7-8'!F8</f>
        <v>100241</v>
      </c>
      <c r="E8" s="1813">
        <f>'Acct Summary 7-8'!I8</f>
        <v>16728</v>
      </c>
      <c r="F8" s="1813">
        <f>SUM(B8:E8)</f>
        <v>1521515</v>
      </c>
    </row>
    <row r="9" spans="1:8" s="858" customFormat="1" ht="14.25" customHeight="1" thickBot="1" x14ac:dyDescent="0.25">
      <c r="A9" s="857" t="s">
        <v>1353</v>
      </c>
      <c r="B9" s="1814">
        <f>'Acct Summary 7-8'!C17</f>
        <v>1084905</v>
      </c>
      <c r="C9" s="1814">
        <f>'Acct Summary 7-8'!D17</f>
        <v>127126</v>
      </c>
      <c r="D9" s="1814">
        <f>'Acct Summary 7-8'!F17</f>
        <v>88570</v>
      </c>
      <c r="E9" s="1813"/>
      <c r="F9" s="1813">
        <f>SUM(B9:E9)</f>
        <v>1300601</v>
      </c>
    </row>
    <row r="10" spans="1:8" s="858" customFormat="1" ht="14.25" thickTop="1" thickBot="1" x14ac:dyDescent="0.25">
      <c r="A10" s="859" t="s">
        <v>1354</v>
      </c>
      <c r="B10" s="1815">
        <f>(B8-B9)</f>
        <v>68772</v>
      </c>
      <c r="C10" s="1815">
        <f>(C8-C9)</f>
        <v>123743</v>
      </c>
      <c r="D10" s="1815">
        <f>(D8-D9)</f>
        <v>11671</v>
      </c>
      <c r="E10" s="1814">
        <f>(E8-E9)</f>
        <v>16728</v>
      </c>
      <c r="F10" s="1816">
        <f>SUM(F8-F9)</f>
        <v>220914</v>
      </c>
    </row>
    <row r="11" spans="1:8" s="858" customFormat="1" ht="14.25" thickTop="1" thickBot="1" x14ac:dyDescent="0.25">
      <c r="A11" s="860" t="s">
        <v>1903</v>
      </c>
      <c r="B11" s="1817">
        <f>'Acct Summary 7-8'!C81</f>
        <v>338965</v>
      </c>
      <c r="C11" s="1817">
        <f>'Acct Summary 7-8'!D81</f>
        <v>316133</v>
      </c>
      <c r="D11" s="1817">
        <f>'Acct Summary 7-8'!F81</f>
        <v>28821</v>
      </c>
      <c r="E11" s="1817">
        <f>'Acct Summary 7-8'!I81</f>
        <v>165763</v>
      </c>
      <c r="F11" s="1818">
        <f>SUM(B11:E11)</f>
        <v>849682</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78" sqref="D7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35050230004</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Rutland CCSD 230</v>
      </c>
      <c r="E4" s="1828">
        <v>44119</v>
      </c>
      <c r="F4" s="1829">
        <v>44151</v>
      </c>
      <c r="G4" s="1899">
        <v>101000600</v>
      </c>
    </row>
    <row r="5" spans="1:7" ht="15" x14ac:dyDescent="0.25">
      <c r="A5" t="s">
        <v>699</v>
      </c>
      <c r="B5" s="135" t="str">
        <f>COVER!A38</f>
        <v>MIKE MATTESON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KIM BIRD</v>
      </c>
      <c r="G17" s="1899">
        <v>402100800</v>
      </c>
    </row>
    <row r="18" spans="1:7" ht="15" x14ac:dyDescent="0.25">
      <c r="A18" t="s">
        <v>1140</v>
      </c>
      <c r="B18" s="135" t="str">
        <f>COVER!T17</f>
        <v>314 S MCCOY STREET</v>
      </c>
      <c r="G18" s="1899">
        <v>102200300</v>
      </c>
    </row>
    <row r="19" spans="1:7" ht="15" x14ac:dyDescent="0.25">
      <c r="A19" t="s">
        <v>880</v>
      </c>
      <c r="B19" s="135" t="str">
        <f>COVER!T25</f>
        <v>kim@hopkinsoffice.com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250690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338965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292039</v>
      </c>
      <c r="D92" s="2" t="str">
        <f t="shared" si="0"/>
        <v>Error?</v>
      </c>
      <c r="G92" s="1899">
        <v>102640600</v>
      </c>
    </row>
    <row r="93" spans="1:7" ht="15" x14ac:dyDescent="0.25">
      <c r="A93" s="5">
        <v>32</v>
      </c>
      <c r="B93" s="1832">
        <f>'Assets-Liab 5-6'!C41</f>
        <v>338965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252224</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316133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316133</v>
      </c>
      <c r="D123" s="2" t="str">
        <f t="shared" si="0"/>
        <v>Error?</v>
      </c>
      <c r="G123" s="1899">
        <v>203000400</v>
      </c>
    </row>
    <row r="124" spans="1:7" ht="15" x14ac:dyDescent="0.25">
      <c r="A124" s="5">
        <v>63</v>
      </c>
      <c r="B124" s="1832">
        <f>'Assets-Liab 5-6'!D41</f>
        <v>316133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2555</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2839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2839</v>
      </c>
      <c r="D140" s="2" t="str">
        <f t="shared" si="1"/>
        <v>Error?</v>
      </c>
    </row>
    <row r="141" spans="1:7" x14ac:dyDescent="0.2">
      <c r="A141" s="5">
        <v>80</v>
      </c>
      <c r="B141" s="1832">
        <f>'Assets-Liab 5-6'!E41</f>
        <v>2839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6497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28821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28821</v>
      </c>
      <c r="D170" s="2" t="str">
        <f t="shared" si="1"/>
        <v>Error?</v>
      </c>
    </row>
    <row r="171" spans="1:4" x14ac:dyDescent="0.2">
      <c r="A171" s="5">
        <v>110</v>
      </c>
      <c r="B171" s="1832">
        <f>'Assets-Liab 5-6'!F41</f>
        <v>28821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22939</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28385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28385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5000</v>
      </c>
      <c r="D273" s="2" t="str">
        <f t="shared" si="3"/>
        <v>Error?</v>
      </c>
    </row>
    <row r="274" spans="1:4" x14ac:dyDescent="0.2">
      <c r="A274" s="5">
        <v>213</v>
      </c>
      <c r="B274" s="1832">
        <f>'Assets-Liab 5-6'!M17</f>
        <v>1595736</v>
      </c>
      <c r="D274" s="2" t="str">
        <f t="shared" si="3"/>
        <v>Error?</v>
      </c>
    </row>
    <row r="275" spans="1:4" x14ac:dyDescent="0.2">
      <c r="A275" s="5">
        <v>214</v>
      </c>
      <c r="B275" s="1832">
        <f>'Assets-Liab 5-6'!M18</f>
        <v>14429</v>
      </c>
      <c r="D275" s="2" t="str">
        <f t="shared" si="3"/>
        <v>Error?</v>
      </c>
    </row>
    <row r="276" spans="1:4" x14ac:dyDescent="0.2">
      <c r="A276" s="5">
        <v>215</v>
      </c>
      <c r="B276" s="1832">
        <f>'Assets-Liab 5-6'!M19</f>
        <v>252527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1867692</v>
      </c>
      <c r="C279" s="2" t="s">
        <v>569</v>
      </c>
      <c r="D279" s="2" t="str">
        <f t="shared" si="3"/>
        <v>Error?</v>
      </c>
    </row>
    <row r="280" spans="1:4" x14ac:dyDescent="0.2">
      <c r="A280" s="5">
        <v>219</v>
      </c>
      <c r="B280" s="1832">
        <f>'Assets-Liab 5-6'!M40</f>
        <v>1867692</v>
      </c>
      <c r="D280" s="2" t="str">
        <f t="shared" si="3"/>
        <v>Error?</v>
      </c>
    </row>
    <row r="281" spans="1:4" x14ac:dyDescent="0.2">
      <c r="A281" s="5">
        <v>220</v>
      </c>
      <c r="B281" s="1832">
        <f>'Assets-Liab 5-6'!M41</f>
        <v>1867692</v>
      </c>
      <c r="C281" s="2" t="s">
        <v>569</v>
      </c>
      <c r="D281" s="2" t="str">
        <f t="shared" si="3"/>
        <v>Error?</v>
      </c>
    </row>
    <row r="282" spans="1:4" x14ac:dyDescent="0.2">
      <c r="A282" s="5">
        <v>221</v>
      </c>
      <c r="B282" s="1832">
        <f>'Assets-Liab 5-6'!N21</f>
        <v>2839</v>
      </c>
      <c r="D282" s="2" t="str">
        <f t="shared" si="3"/>
        <v>Error?</v>
      </c>
    </row>
    <row r="283" spans="1:4" x14ac:dyDescent="0.2">
      <c r="A283" s="5">
        <v>222</v>
      </c>
      <c r="B283" s="1832">
        <f>'Assets-Liab 5-6'!N22</f>
        <v>313136</v>
      </c>
      <c r="D283" s="2" t="str">
        <f t="shared" si="3"/>
        <v>Error?</v>
      </c>
    </row>
    <row r="284" spans="1:4" x14ac:dyDescent="0.2">
      <c r="A284" s="5">
        <v>223</v>
      </c>
      <c r="B284" s="1832">
        <f>'Assets-Liab 5-6'!N23</f>
        <v>315975</v>
      </c>
      <c r="C284" s="2" t="s">
        <v>569</v>
      </c>
      <c r="D284" s="2" t="str">
        <f t="shared" si="3"/>
        <v>Error?</v>
      </c>
    </row>
    <row r="285" spans="1:4" x14ac:dyDescent="0.2">
      <c r="A285" s="5">
        <v>224</v>
      </c>
      <c r="B285" s="1832">
        <f>'Assets-Liab 5-6'!N36</f>
        <v>315975</v>
      </c>
      <c r="D285" s="2" t="str">
        <f t="shared" si="3"/>
        <v>Error?</v>
      </c>
    </row>
    <row r="286" spans="1:4" x14ac:dyDescent="0.2">
      <c r="A286" s="10">
        <v>225</v>
      </c>
      <c r="B286" s="1832"/>
      <c r="D286" s="2" t="str">
        <f t="shared" si="3"/>
        <v>OK</v>
      </c>
    </row>
    <row r="287" spans="1:4" x14ac:dyDescent="0.2">
      <c r="A287" s="5">
        <v>226</v>
      </c>
      <c r="B287" s="1832">
        <f>'Assets-Liab 5-6'!N37</f>
        <v>315975</v>
      </c>
      <c r="C287" s="2" t="s">
        <v>569</v>
      </c>
      <c r="D287" s="2" t="str">
        <f t="shared" si="3"/>
        <v>Error?</v>
      </c>
    </row>
    <row r="288" spans="1:4" x14ac:dyDescent="0.2">
      <c r="A288" s="5">
        <v>227</v>
      </c>
      <c r="B288" s="1832">
        <f>'Assets-Liab 5-6'!N41</f>
        <v>315975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465207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2588</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12113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575285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550</v>
      </c>
      <c r="D732" s="2" t="str">
        <f t="shared" si="10"/>
        <v>Error?</v>
      </c>
    </row>
    <row r="733" spans="1:4" x14ac:dyDescent="0.2">
      <c r="A733" s="5">
        <v>672</v>
      </c>
      <c r="B733" s="1832">
        <f>'Expenditures 15-22'!C50</f>
        <v>56547</v>
      </c>
      <c r="D733" s="2" t="str">
        <f t="shared" si="10"/>
        <v>Error?</v>
      </c>
    </row>
    <row r="734" spans="1:4" x14ac:dyDescent="0.2">
      <c r="A734" s="5">
        <v>673</v>
      </c>
      <c r="B734" s="1832">
        <f>'Expenditures 15-22'!C53</f>
        <v>57097</v>
      </c>
      <c r="C734" s="2" t="s">
        <v>569</v>
      </c>
      <c r="D734" s="2" t="str">
        <f t="shared" si="10"/>
        <v>Error?</v>
      </c>
    </row>
    <row r="735" spans="1:4" x14ac:dyDescent="0.2">
      <c r="A735" s="5">
        <v>674</v>
      </c>
      <c r="B735" s="1832">
        <f>'Expenditures 15-22'!C55</f>
        <v>67698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67698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10549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18163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28712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153507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728792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82362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621</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1524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107007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71</v>
      </c>
      <c r="D790" s="2" t="str">
        <f t="shared" si="11"/>
        <v>Error?</v>
      </c>
    </row>
    <row r="791" spans="1:4" x14ac:dyDescent="0.2">
      <c r="A791" s="5">
        <v>730</v>
      </c>
      <c r="B791" s="1832">
        <f>'Expenditures 15-22'!D50</f>
        <v>19350</v>
      </c>
      <c r="D791" s="2" t="str">
        <f t="shared" si="11"/>
        <v>Error?</v>
      </c>
    </row>
    <row r="792" spans="1:4" x14ac:dyDescent="0.2">
      <c r="A792" s="5">
        <v>731</v>
      </c>
      <c r="B792" s="1832">
        <f>'Expenditures 15-22'!D53</f>
        <v>19421</v>
      </c>
      <c r="C792" s="2" t="s">
        <v>569</v>
      </c>
      <c r="D792" s="2" t="str">
        <f t="shared" si="11"/>
        <v>Error?</v>
      </c>
    </row>
    <row r="793" spans="1:4" x14ac:dyDescent="0.2">
      <c r="A793" s="5">
        <v>732</v>
      </c>
      <c r="B793" s="1832">
        <f>'Expenditures 15-22'!D55</f>
        <v>24518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24518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43939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150946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15856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1669</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3291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24008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23803</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23803</v>
      </c>
      <c r="C850" s="2" t="s">
        <v>569</v>
      </c>
      <c r="D850" s="2" t="str">
        <f t="shared" si="12"/>
        <v>Error?</v>
      </c>
    </row>
    <row r="851" spans="1:4" x14ac:dyDescent="0.2">
      <c r="A851" s="5">
        <v>790</v>
      </c>
      <c r="B851" s="1832">
        <f>'Expenditures 15-22'!E55</f>
        <v>1347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1347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1061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26211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81908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23051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830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23995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1366</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1366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21887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21887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23253</v>
      </c>
      <c r="C929" s="2" t="s">
        <v>569</v>
      </c>
      <c r="D929" s="2" t="str">
        <f t="shared" si="13"/>
        <v>Error?</v>
      </c>
    </row>
    <row r="930" spans="1:4" x14ac:dyDescent="0.2">
      <c r="A930" s="5">
        <v>869</v>
      </c>
      <c r="B930" s="1832">
        <f>'Expenditures 15-22'!F75</f>
        <v>180</v>
      </c>
      <c r="D930" s="2" t="str">
        <f t="shared" si="13"/>
        <v>Error?</v>
      </c>
    </row>
    <row r="931" spans="1:4" x14ac:dyDescent="0.2">
      <c r="A931" s="5">
        <v>870</v>
      </c>
      <c r="B931" s="1832">
        <f>'Expenditures 15-22'!F114</f>
        <v>47428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10844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10844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10844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55240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9747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64987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597320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4878</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17758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796379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25790</v>
      </c>
      <c r="C1120" s="2" t="s">
        <v>569</v>
      </c>
      <c r="D1120" s="2" t="str">
        <f t="shared" si="16"/>
        <v>Error?</v>
      </c>
    </row>
    <row r="1121" spans="1:4" x14ac:dyDescent="0.2">
      <c r="A1121" s="5">
        <v>1060</v>
      </c>
      <c r="B1121" s="1832">
        <f>'Expenditures 15-22'!K50</f>
        <v>75897</v>
      </c>
      <c r="C1121" s="2" t="s">
        <v>569</v>
      </c>
      <c r="D1121" s="2" t="str">
        <f t="shared" si="16"/>
        <v>Error?</v>
      </c>
    </row>
    <row r="1122" spans="1:4" x14ac:dyDescent="0.2">
      <c r="A1122" s="5">
        <v>1061</v>
      </c>
      <c r="B1122" s="1832">
        <f>'Expenditures 15-22'!K53</f>
        <v>101687</v>
      </c>
      <c r="C1122" s="2" t="s">
        <v>569</v>
      </c>
      <c r="D1122" s="2" t="str">
        <f t="shared" si="16"/>
        <v>Error?</v>
      </c>
    </row>
    <row r="1123" spans="1:4" x14ac:dyDescent="0.2">
      <c r="A1123" s="5">
        <v>1062</v>
      </c>
      <c r="B1123" s="1832">
        <f>'Expenditures 15-22'!K55</f>
        <v>93563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93563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10549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41111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51660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246910</v>
      </c>
      <c r="C1143" s="2" t="s">
        <v>569</v>
      </c>
      <c r="D1143" s="2" t="str">
        <f t="shared" si="16"/>
        <v>Error?</v>
      </c>
    </row>
    <row r="1144" spans="1:4" x14ac:dyDescent="0.2">
      <c r="A1144" s="5">
        <v>1083</v>
      </c>
      <c r="B1144" s="1832">
        <f>'Expenditures 15-22'!K75</f>
        <v>180</v>
      </c>
      <c r="C1144" s="2" t="s">
        <v>569</v>
      </c>
      <c r="D1144" s="2" t="str">
        <f t="shared" si="16"/>
        <v>Error?</v>
      </c>
    </row>
    <row r="1145" spans="1:4" x14ac:dyDescent="0.2">
      <c r="A1145" s="5">
        <v>1084</v>
      </c>
      <c r="B1145" s="1832">
        <f>'Expenditures 15-22'!K102</f>
        <v>41436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1084905</v>
      </c>
      <c r="C1152" s="2" t="s">
        <v>569</v>
      </c>
      <c r="D1152" s="2" t="str">
        <f t="shared" si="17"/>
        <v>Error?</v>
      </c>
    </row>
    <row r="1153" spans="1:4" x14ac:dyDescent="0.2">
      <c r="A1153" s="5">
        <v>1092</v>
      </c>
      <c r="B1153" s="1832">
        <f>'Expenditures 15-22'!K115</f>
        <v>68772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46312</v>
      </c>
      <c r="D1221" s="2" t="str">
        <f t="shared" si="18"/>
        <v>Error?</v>
      </c>
    </row>
    <row r="1222" spans="1:4" x14ac:dyDescent="0.2">
      <c r="A1222" s="10">
        <v>1161</v>
      </c>
      <c r="B1222" s="1832"/>
      <c r="D1222" s="2" t="str">
        <f t="shared" si="18"/>
        <v>OK</v>
      </c>
    </row>
    <row r="1223" spans="1:4" x14ac:dyDescent="0.2">
      <c r="A1223" s="5">
        <v>1162</v>
      </c>
      <c r="B1223" s="1832">
        <f>'Expenditures 15-22'!C127</f>
        <v>46312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46312</v>
      </c>
      <c r="C1225" s="2" t="s">
        <v>569</v>
      </c>
      <c r="D1225" s="2" t="str">
        <f t="shared" si="18"/>
        <v>Error?</v>
      </c>
    </row>
    <row r="1226" spans="1:4" x14ac:dyDescent="0.2">
      <c r="A1226" s="5">
        <v>1165</v>
      </c>
      <c r="B1226" s="1832">
        <f>'Expenditures 15-22'!C151</f>
        <v>46312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19855</v>
      </c>
      <c r="D1229" s="2" t="str">
        <f t="shared" si="18"/>
        <v>Error?</v>
      </c>
    </row>
    <row r="1230" spans="1:4" x14ac:dyDescent="0.2">
      <c r="A1230" s="10">
        <v>1169</v>
      </c>
      <c r="B1230" s="1832"/>
      <c r="D1230" s="2" t="str">
        <f t="shared" si="18"/>
        <v>OK</v>
      </c>
    </row>
    <row r="1231" spans="1:4" x14ac:dyDescent="0.2">
      <c r="A1231" s="5">
        <v>1170</v>
      </c>
      <c r="B1231" s="1832">
        <f>'Expenditures 15-22'!D127</f>
        <v>19855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19855</v>
      </c>
      <c r="C1233" s="2" t="s">
        <v>569</v>
      </c>
      <c r="D1233" s="2" t="str">
        <f t="shared" si="18"/>
        <v>Error?</v>
      </c>
    </row>
    <row r="1234" spans="1:4" x14ac:dyDescent="0.2">
      <c r="A1234" s="5">
        <v>1173</v>
      </c>
      <c r="B1234" s="1832">
        <f>'Expenditures 15-22'!D151</f>
        <v>19855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53807</v>
      </c>
      <c r="D1237" s="2" t="str">
        <f t="shared" si="18"/>
        <v>Error?</v>
      </c>
    </row>
    <row r="1238" spans="1:4" x14ac:dyDescent="0.2">
      <c r="A1238" s="10">
        <v>1177</v>
      </c>
      <c r="B1238" s="1832"/>
      <c r="D1238" s="2" t="str">
        <f t="shared" si="18"/>
        <v>OK</v>
      </c>
    </row>
    <row r="1239" spans="1:4" x14ac:dyDescent="0.2">
      <c r="A1239" s="5">
        <v>1178</v>
      </c>
      <c r="B1239" s="1832">
        <f>'Expenditures 15-22'!E127</f>
        <v>53807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53807</v>
      </c>
      <c r="C1241" s="2" t="s">
        <v>569</v>
      </c>
      <c r="D1241" s="2" t="str">
        <f t="shared" si="18"/>
        <v>Error?</v>
      </c>
    </row>
    <row r="1242" spans="1:4" x14ac:dyDescent="0.2">
      <c r="A1242" s="5">
        <v>1181</v>
      </c>
      <c r="B1242" s="1832">
        <f>'Expenditures 15-22'!E151</f>
        <v>53807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7152</v>
      </c>
      <c r="D1245" s="2" t="str">
        <f t="shared" si="18"/>
        <v>Error?</v>
      </c>
    </row>
    <row r="1246" spans="1:4" x14ac:dyDescent="0.2">
      <c r="A1246" s="10">
        <v>1185</v>
      </c>
      <c r="B1246" s="1832"/>
      <c r="D1246" s="2" t="str">
        <f t="shared" si="18"/>
        <v>OK</v>
      </c>
    </row>
    <row r="1247" spans="1:4" x14ac:dyDescent="0.2">
      <c r="A1247" s="5">
        <v>1186</v>
      </c>
      <c r="B1247" s="1832">
        <f>'Expenditures 15-22'!F127</f>
        <v>7152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7152</v>
      </c>
      <c r="C1249" s="2" t="s">
        <v>569</v>
      </c>
      <c r="D1249" s="2" t="str">
        <f t="shared" si="18"/>
        <v>Error?</v>
      </c>
    </row>
    <row r="1250" spans="1:4" x14ac:dyDescent="0.2">
      <c r="A1250" s="5">
        <v>1189</v>
      </c>
      <c r="B1250" s="1832">
        <f>'Expenditures 15-22'!F151</f>
        <v>7152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127126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127126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127126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127126</v>
      </c>
      <c r="C1288" s="2" t="s">
        <v>569</v>
      </c>
      <c r="D1288" s="2" t="str">
        <f t="shared" si="19"/>
        <v>Error?</v>
      </c>
    </row>
    <row r="1289" spans="1:4" x14ac:dyDescent="0.2">
      <c r="A1289" s="5">
        <v>1228</v>
      </c>
      <c r="B1289" s="1832">
        <f>'Expenditures 15-22'!K152</f>
        <v>123743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14166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33666</v>
      </c>
      <c r="C1317" s="2" t="s">
        <v>569</v>
      </c>
      <c r="D1317" s="2" t="str">
        <f t="shared" si="19"/>
        <v>Error?</v>
      </c>
    </row>
    <row r="1318" spans="1:4" x14ac:dyDescent="0.2">
      <c r="A1318" s="5">
        <v>1257</v>
      </c>
      <c r="B1318" s="1832">
        <f>'Expenditures 15-22'!H174</f>
        <v>33666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14166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33666</v>
      </c>
      <c r="C1331" s="2" t="s">
        <v>569</v>
      </c>
      <c r="D1331" s="2" t="str">
        <f t="shared" si="19"/>
        <v>Error?</v>
      </c>
    </row>
    <row r="1332" spans="1:4" x14ac:dyDescent="0.2">
      <c r="A1332" s="5">
        <v>1271</v>
      </c>
      <c r="B1332" s="1832">
        <f>'Expenditures 15-22'!K174</f>
        <v>33666</v>
      </c>
      <c r="C1332" s="2" t="s">
        <v>569</v>
      </c>
      <c r="D1332" s="2" t="str">
        <f t="shared" si="19"/>
        <v>Error?</v>
      </c>
    </row>
    <row r="1333" spans="1:4" x14ac:dyDescent="0.2">
      <c r="A1333" s="5">
        <v>1272</v>
      </c>
      <c r="B1333" s="1832">
        <f>'Expenditures 15-22'!K175</f>
        <v>39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43235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43235</v>
      </c>
      <c r="C1339" s="2" t="s">
        <v>569</v>
      </c>
      <c r="D1339" s="2" t="str">
        <f t="shared" si="19"/>
        <v>Error?</v>
      </c>
    </row>
    <row r="1340" spans="1:4" x14ac:dyDescent="0.2">
      <c r="A1340" s="5">
        <v>1279</v>
      </c>
      <c r="B1340" s="1832">
        <f>'Expenditures 15-22'!C210</f>
        <v>43235</v>
      </c>
      <c r="C1340" s="2" t="s">
        <v>569</v>
      </c>
      <c r="D1340" s="2" t="str">
        <f t="shared" si="19"/>
        <v>Error?</v>
      </c>
    </row>
    <row r="1341" spans="1:4" x14ac:dyDescent="0.2">
      <c r="A1341" s="5">
        <v>1280</v>
      </c>
      <c r="B1341" s="1832">
        <f>'Expenditures 15-22'!D182</f>
        <v>1983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1983</v>
      </c>
      <c r="C1345" s="2" t="s">
        <v>569</v>
      </c>
      <c r="D1345" s="2" t="str">
        <f t="shared" si="20"/>
        <v>Error?</v>
      </c>
    </row>
    <row r="1346" spans="1:4" x14ac:dyDescent="0.2">
      <c r="A1346" s="5">
        <v>1285</v>
      </c>
      <c r="B1346" s="1832">
        <f>'Expenditures 15-22'!D210</f>
        <v>1983</v>
      </c>
      <c r="C1346" s="2" t="s">
        <v>569</v>
      </c>
      <c r="D1346" s="2" t="str">
        <f t="shared" si="20"/>
        <v>Error?</v>
      </c>
    </row>
    <row r="1347" spans="1:4" x14ac:dyDescent="0.2">
      <c r="A1347" s="5">
        <v>1286</v>
      </c>
      <c r="B1347" s="1832">
        <f>'Expenditures 15-22'!E182</f>
        <v>22520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22520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22520</v>
      </c>
      <c r="C1353" s="2" t="s">
        <v>569</v>
      </c>
      <c r="D1353" s="2" t="str">
        <f t="shared" si="20"/>
        <v>Error?</v>
      </c>
    </row>
    <row r="1354" spans="1:4" x14ac:dyDescent="0.2">
      <c r="A1354" s="5">
        <v>1293</v>
      </c>
      <c r="B1354" s="1832">
        <f>'Expenditures 15-22'!F182</f>
        <v>10041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10041</v>
      </c>
      <c r="C1358" s="2" t="s">
        <v>569</v>
      </c>
      <c r="D1358" s="2" t="str">
        <f t="shared" si="20"/>
        <v>Error?</v>
      </c>
    </row>
    <row r="1359" spans="1:4" x14ac:dyDescent="0.2">
      <c r="A1359" s="5">
        <v>1298</v>
      </c>
      <c r="B1359" s="1832">
        <f>'Expenditures 15-22'!F210</f>
        <v>10041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10791</v>
      </c>
      <c r="C1375" s="2" t="s">
        <v>569</v>
      </c>
      <c r="D1375" s="2" t="str">
        <f t="shared" si="20"/>
        <v>Error?</v>
      </c>
    </row>
    <row r="1376" spans="1:4" x14ac:dyDescent="0.2">
      <c r="A1376" s="5">
        <v>1315</v>
      </c>
      <c r="B1376" s="1832">
        <f>'Expenditures 15-22'!H210</f>
        <v>10791</v>
      </c>
      <c r="C1376" s="2" t="s">
        <v>569</v>
      </c>
      <c r="D1376" s="2" t="str">
        <f t="shared" si="20"/>
        <v>Error?</v>
      </c>
    </row>
    <row r="1377" spans="1:4" x14ac:dyDescent="0.2">
      <c r="A1377" s="5">
        <v>1316</v>
      </c>
      <c r="B1377" s="1832">
        <f>'Expenditures 15-22'!K182</f>
        <v>77779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77779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10791</v>
      </c>
      <c r="C1387" s="2" t="s">
        <v>569</v>
      </c>
      <c r="D1387" s="2" t="str">
        <f t="shared" si="20"/>
        <v>Error?</v>
      </c>
    </row>
    <row r="1388" spans="1:4" x14ac:dyDescent="0.2">
      <c r="A1388" s="5">
        <v>1327</v>
      </c>
      <c r="B1388" s="1832">
        <f>'Expenditures 15-22'!K210</f>
        <v>88570</v>
      </c>
      <c r="C1388" s="2" t="s">
        <v>569</v>
      </c>
      <c r="D1388" s="2" t="str">
        <f t="shared" si="20"/>
        <v>Error?</v>
      </c>
    </row>
    <row r="1389" spans="1:4" x14ac:dyDescent="0.2">
      <c r="A1389" s="5">
        <v>1328</v>
      </c>
      <c r="B1389" s="1832">
        <f>'Expenditures 15-22'!K211</f>
        <v>11671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38</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195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17387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8</v>
      </c>
      <c r="D1422" s="2" t="str">
        <f t="shared" si="21"/>
        <v>Error?</v>
      </c>
    </row>
    <row r="1423" spans="1:4" x14ac:dyDescent="0.2">
      <c r="A1423" s="5">
        <v>1362</v>
      </c>
      <c r="B1423" s="1832">
        <f>'Expenditures 15-22'!D246</f>
        <v>820</v>
      </c>
      <c r="D1423" s="2" t="str">
        <f t="shared" si="21"/>
        <v>Error?</v>
      </c>
    </row>
    <row r="1424" spans="1:4" x14ac:dyDescent="0.2">
      <c r="A1424" s="5">
        <v>1363</v>
      </c>
      <c r="B1424" s="1832">
        <f>'Expenditures 15-22'!D257</f>
        <v>3450</v>
      </c>
      <c r="C1424" s="2" t="s">
        <v>569</v>
      </c>
      <c r="D1424" s="2" t="str">
        <f t="shared" si="21"/>
        <v>Error?</v>
      </c>
    </row>
    <row r="1425" spans="1:4" x14ac:dyDescent="0.2">
      <c r="A1425" s="5">
        <v>1364</v>
      </c>
      <c r="B1425" s="1832">
        <f>'Expenditures 15-22'!D259</f>
        <v>4408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4408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2267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7953</v>
      </c>
      <c r="D1431" s="2" t="str">
        <f t="shared" si="21"/>
        <v>Error?</v>
      </c>
    </row>
    <row r="1432" spans="1:4" x14ac:dyDescent="0.2">
      <c r="A1432" s="5">
        <v>1371</v>
      </c>
      <c r="B1432" s="1832">
        <f>'Expenditures 15-22'!D267</f>
        <v>7599</v>
      </c>
      <c r="D1432" s="2" t="str">
        <f t="shared" si="21"/>
        <v>Error?</v>
      </c>
    </row>
    <row r="1433" spans="1:4" x14ac:dyDescent="0.2">
      <c r="A1433" s="5">
        <v>1372</v>
      </c>
      <c r="B1433" s="1832">
        <f>'Expenditures 15-22'!D268</f>
        <v>3861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21680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29538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46925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38</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195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17387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8</v>
      </c>
      <c r="C1486" s="2" t="s">
        <v>569</v>
      </c>
      <c r="D1486" s="2" t="str">
        <f t="shared" si="22"/>
        <v>Error?</v>
      </c>
    </row>
    <row r="1487" spans="1:4" x14ac:dyDescent="0.2">
      <c r="A1487" s="5">
        <v>1426</v>
      </c>
      <c r="B1487" s="1832">
        <f>'Expenditures 15-22'!K246</f>
        <v>820</v>
      </c>
      <c r="C1487" s="2" t="s">
        <v>569</v>
      </c>
      <c r="D1487" s="2" t="str">
        <f t="shared" si="22"/>
        <v>Error?</v>
      </c>
    </row>
    <row r="1488" spans="1:4" x14ac:dyDescent="0.2">
      <c r="A1488" s="5">
        <v>1427</v>
      </c>
      <c r="B1488" s="1832">
        <f>'Expenditures 15-22'!K257</f>
        <v>3450</v>
      </c>
      <c r="C1488" s="2" t="s">
        <v>569</v>
      </c>
      <c r="D1488" s="2" t="str">
        <f t="shared" si="22"/>
        <v>Error?</v>
      </c>
    </row>
    <row r="1489" spans="1:4" x14ac:dyDescent="0.2">
      <c r="A1489" s="5">
        <v>1428</v>
      </c>
      <c r="B1489" s="1832">
        <f>'Expenditures 15-22'!K259</f>
        <v>4408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4408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2267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7953</v>
      </c>
      <c r="C1495" s="2" t="s">
        <v>569</v>
      </c>
      <c r="D1495" s="2" t="str">
        <f t="shared" si="22"/>
        <v>Error?</v>
      </c>
    </row>
    <row r="1496" spans="1:4" x14ac:dyDescent="0.2">
      <c r="A1496" s="5">
        <v>1435</v>
      </c>
      <c r="B1496" s="1832">
        <f>'Expenditures 15-22'!K267</f>
        <v>7599</v>
      </c>
      <c r="C1496" s="2" t="s">
        <v>569</v>
      </c>
      <c r="D1496" s="2" t="str">
        <f t="shared" si="22"/>
        <v>Error?</v>
      </c>
    </row>
    <row r="1497" spans="1:4" x14ac:dyDescent="0.2">
      <c r="A1497" s="5">
        <v>1436</v>
      </c>
      <c r="B1497" s="1832">
        <f>'Expenditures 15-22'!K268</f>
        <v>3861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21680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29538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46925</v>
      </c>
      <c r="C1517" s="2" t="s">
        <v>569</v>
      </c>
      <c r="D1517" s="2" t="str">
        <f t="shared" si="22"/>
        <v>Error?</v>
      </c>
    </row>
    <row r="1518" spans="1:4" x14ac:dyDescent="0.2">
      <c r="A1518" s="5">
        <v>1457</v>
      </c>
      <c r="B1518" s="1832">
        <f>'Expenditures 15-22'!K296</f>
        <v>3763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270193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338965</v>
      </c>
      <c r="C1630" s="2" t="s">
        <v>569</v>
      </c>
      <c r="D1630" s="2" t="str">
        <f t="shared" si="24"/>
        <v>Error?</v>
      </c>
    </row>
    <row r="1631" spans="1:4" x14ac:dyDescent="0.2">
      <c r="A1631" s="5">
        <v>1570</v>
      </c>
      <c r="B1631" s="1832">
        <f>'Acct Summary 7-8'!D79</f>
        <v>192390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316133</v>
      </c>
      <c r="C1644" s="2" t="s">
        <v>569</v>
      </c>
      <c r="D1644" s="2" t="str">
        <f t="shared" si="24"/>
        <v>Error?</v>
      </c>
    </row>
    <row r="1645" spans="1:4" x14ac:dyDescent="0.2">
      <c r="A1645" s="5">
        <v>1584</v>
      </c>
      <c r="B1645" s="1832">
        <f>'Acct Summary 7-8'!E79</f>
        <v>2800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2839</v>
      </c>
      <c r="C1658" s="2" t="s">
        <v>569</v>
      </c>
      <c r="D1658" s="2" t="str">
        <f t="shared" si="24"/>
        <v>Error?</v>
      </c>
    </row>
    <row r="1659" spans="1:4" x14ac:dyDescent="0.2">
      <c r="A1659" s="5">
        <v>1598</v>
      </c>
      <c r="B1659" s="1832">
        <f>'Acct Summary 7-8'!F79</f>
        <v>14650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28821</v>
      </c>
      <c r="C1672" s="2" t="s">
        <v>569</v>
      </c>
      <c r="D1672" s="2" t="str">
        <f t="shared" si="25"/>
        <v>Error?</v>
      </c>
    </row>
    <row r="1673" spans="1:4" x14ac:dyDescent="0.2">
      <c r="A1673" s="5">
        <v>1612</v>
      </c>
      <c r="B1673" s="1832">
        <f>'Acct Summary 7-8'!G79</f>
        <v>24622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28385</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592048</v>
      </c>
      <c r="C1744" s="2" t="s">
        <v>569</v>
      </c>
      <c r="D1744" s="2" t="str">
        <f t="shared" si="26"/>
        <v>Error?</v>
      </c>
    </row>
    <row r="1745" spans="1:5" x14ac:dyDescent="0.2">
      <c r="A1745" s="5">
        <v>1684</v>
      </c>
      <c r="B1745" s="1832">
        <f>'Tax Sched 23'!B5</f>
        <v>133796</v>
      </c>
      <c r="C1745" s="2" t="s">
        <v>569</v>
      </c>
      <c r="D1745" s="2" t="str">
        <f t="shared" si="26"/>
        <v>Error?</v>
      </c>
    </row>
    <row r="1746" spans="1:5" x14ac:dyDescent="0.2">
      <c r="A1746" s="5">
        <v>1685</v>
      </c>
      <c r="B1746" s="1832">
        <f>'Tax Sched 23'!B6</f>
        <v>33456</v>
      </c>
      <c r="C1746" s="2" t="s">
        <v>569</v>
      </c>
      <c r="D1746" s="2" t="str">
        <f t="shared" si="26"/>
        <v>Error?</v>
      </c>
    </row>
    <row r="1747" spans="1:5" x14ac:dyDescent="0.2">
      <c r="A1747" s="5">
        <v>1686</v>
      </c>
      <c r="B1747" s="1832">
        <f>'Tax Sched 23'!B7</f>
        <v>40142</v>
      </c>
      <c r="C1747" s="2" t="s">
        <v>569</v>
      </c>
      <c r="D1747" s="2" t="str">
        <f t="shared" si="26"/>
        <v>Error?</v>
      </c>
    </row>
    <row r="1748" spans="1:5" x14ac:dyDescent="0.2">
      <c r="A1748" s="5">
        <v>1687</v>
      </c>
      <c r="B1748" s="1832">
        <f>'Tax Sched 23'!B8</f>
        <v>17153</v>
      </c>
      <c r="C1748" s="2" t="s">
        <v>569</v>
      </c>
      <c r="D1748" s="2" t="str">
        <f t="shared" si="26"/>
        <v>Error?</v>
      </c>
    </row>
    <row r="1749" spans="1:5" x14ac:dyDescent="0.2">
      <c r="A1749" s="5">
        <v>1688</v>
      </c>
      <c r="B1749" s="1832">
        <f>'Tax Sched 23'!B10</f>
        <v>16728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67586</v>
      </c>
      <c r="C1752" s="2" t="s">
        <v>569</v>
      </c>
      <c r="D1752" s="2" t="str">
        <f t="shared" si="26"/>
        <v>Error?</v>
      </c>
    </row>
    <row r="1753" spans="1:5" x14ac:dyDescent="0.2">
      <c r="A1753" s="5">
        <v>1692</v>
      </c>
      <c r="B1753" s="1832">
        <f>'Tax Sched 23'!B12</f>
        <v>16728</v>
      </c>
      <c r="C1753" s="2" t="s">
        <v>569</v>
      </c>
      <c r="D1753" s="2" t="str">
        <f t="shared" si="26"/>
        <v>Error?</v>
      </c>
    </row>
    <row r="1754" spans="1:5" x14ac:dyDescent="0.2">
      <c r="A1754" s="5">
        <v>1693</v>
      </c>
      <c r="B1754" s="1832">
        <f>'Tax Sched 23'!B14</f>
        <v>6692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968799</v>
      </c>
      <c r="C1759" s="2" t="s">
        <v>569</v>
      </c>
      <c r="D1759" s="2" t="str">
        <f t="shared" si="26"/>
        <v>Error?</v>
      </c>
    </row>
    <row r="1760" spans="1:5" x14ac:dyDescent="0.2">
      <c r="A1760" s="5">
        <v>1699</v>
      </c>
      <c r="B1760" s="1832">
        <f>'Tax Sched 23'!D4</f>
        <v>592048</v>
      </c>
      <c r="C1760" s="2" t="s">
        <v>569</v>
      </c>
      <c r="D1760" s="2" t="str">
        <f t="shared" si="26"/>
        <v>Error?</v>
      </c>
    </row>
    <row r="1761" spans="1:7" x14ac:dyDescent="0.2">
      <c r="A1761" s="5">
        <v>1700</v>
      </c>
      <c r="B1761" s="1832">
        <f>'Tax Sched 23'!D5</f>
        <v>133796</v>
      </c>
      <c r="C1761" s="2" t="s">
        <v>569</v>
      </c>
      <c r="D1761" s="2" t="str">
        <f t="shared" si="26"/>
        <v>Error?</v>
      </c>
    </row>
    <row r="1762" spans="1:7" s="8" customFormat="1" x14ac:dyDescent="0.2">
      <c r="A1762" s="5">
        <v>1701</v>
      </c>
      <c r="B1762" s="1832">
        <f>'Tax Sched 23'!D6</f>
        <v>33456</v>
      </c>
      <c r="C1762" s="2" t="s">
        <v>569</v>
      </c>
      <c r="D1762" s="2" t="str">
        <f t="shared" si="26"/>
        <v>Error?</v>
      </c>
      <c r="E1762" s="9"/>
      <c r="G1762"/>
    </row>
    <row r="1763" spans="1:7" x14ac:dyDescent="0.2">
      <c r="A1763" s="5">
        <v>1702</v>
      </c>
      <c r="B1763" s="1832">
        <f>'Tax Sched 23'!D7</f>
        <v>40142</v>
      </c>
      <c r="C1763" s="2" t="s">
        <v>569</v>
      </c>
      <c r="D1763" s="2" t="str">
        <f t="shared" si="26"/>
        <v>Error?</v>
      </c>
    </row>
    <row r="1764" spans="1:7" x14ac:dyDescent="0.2">
      <c r="A1764" s="5">
        <v>1703</v>
      </c>
      <c r="B1764" s="1832">
        <f>'Tax Sched 23'!D8</f>
        <v>17153</v>
      </c>
      <c r="C1764" s="2" t="s">
        <v>569</v>
      </c>
      <c r="D1764" s="2" t="str">
        <f t="shared" si="26"/>
        <v>Error?</v>
      </c>
    </row>
    <row r="1765" spans="1:7" x14ac:dyDescent="0.2">
      <c r="A1765" s="5">
        <v>1704</v>
      </c>
      <c r="B1765" s="1832">
        <f>'Tax Sched 23'!D10</f>
        <v>16728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67586</v>
      </c>
      <c r="C1768" s="2" t="s">
        <v>569</v>
      </c>
      <c r="D1768" s="2" t="str">
        <f t="shared" si="26"/>
        <v>Error?</v>
      </c>
    </row>
    <row r="1769" spans="1:7" x14ac:dyDescent="0.2">
      <c r="A1769" s="5">
        <v>1708</v>
      </c>
      <c r="B1769" s="1832">
        <f>'Tax Sched 23'!D12</f>
        <v>16728</v>
      </c>
      <c r="C1769" s="2" t="s">
        <v>569</v>
      </c>
      <c r="D1769" s="2" t="str">
        <f t="shared" si="26"/>
        <v>Error?</v>
      </c>
    </row>
    <row r="1770" spans="1:7" x14ac:dyDescent="0.2">
      <c r="A1770" s="5">
        <v>1709</v>
      </c>
      <c r="B1770" s="1832">
        <f>'Tax Sched 23'!D14</f>
        <v>6692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968799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636338</v>
      </c>
      <c r="C1792" s="2" t="s">
        <v>569</v>
      </c>
      <c r="D1792" s="2" t="str">
        <f t="shared" si="27"/>
        <v>Error?</v>
      </c>
    </row>
    <row r="1793" spans="1:4" x14ac:dyDescent="0.2">
      <c r="A1793" s="5">
        <v>1732</v>
      </c>
      <c r="B1793" s="1832">
        <f>'Tax Sched 23'!F5</f>
        <v>143805</v>
      </c>
      <c r="C1793" s="2" t="s">
        <v>569</v>
      </c>
      <c r="D1793" s="2" t="str">
        <f t="shared" si="27"/>
        <v>Error?</v>
      </c>
    </row>
    <row r="1794" spans="1:4" x14ac:dyDescent="0.2">
      <c r="A1794" s="5">
        <v>1733</v>
      </c>
      <c r="B1794" s="1832">
        <f>'Tax Sched 23'!F6</f>
        <v>33341</v>
      </c>
      <c r="C1794" s="2" t="s">
        <v>569</v>
      </c>
      <c r="D1794" s="2" t="str">
        <f t="shared" si="27"/>
        <v>Error?</v>
      </c>
    </row>
    <row r="1795" spans="1:4" x14ac:dyDescent="0.2">
      <c r="A1795" s="5">
        <v>1734</v>
      </c>
      <c r="B1795" s="1832">
        <f>'Tax Sched 23'!F7</f>
        <v>43142</v>
      </c>
      <c r="C1795" s="2" t="s">
        <v>569</v>
      </c>
      <c r="D1795" s="2" t="str">
        <f t="shared" si="27"/>
        <v>Error?</v>
      </c>
    </row>
    <row r="1796" spans="1:4" x14ac:dyDescent="0.2">
      <c r="A1796" s="5">
        <v>1735</v>
      </c>
      <c r="B1796" s="1832">
        <f>'Tax Sched 23'!F8</f>
        <v>17501</v>
      </c>
      <c r="C1796" s="2" t="s">
        <v>569</v>
      </c>
      <c r="D1796" s="2" t="str">
        <f t="shared" si="27"/>
        <v>Error?</v>
      </c>
    </row>
    <row r="1797" spans="1:4" x14ac:dyDescent="0.2">
      <c r="A1797" s="5">
        <v>1736</v>
      </c>
      <c r="B1797" s="1832">
        <f>'Tax Sched 23'!F10</f>
        <v>17976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67006</v>
      </c>
      <c r="C1800" s="2" t="s">
        <v>569</v>
      </c>
      <c r="D1800" s="2" t="str">
        <f t="shared" si="27"/>
        <v>Error?</v>
      </c>
    </row>
    <row r="1801" spans="1:4" x14ac:dyDescent="0.2">
      <c r="A1801" s="5">
        <v>1740</v>
      </c>
      <c r="B1801" s="1832">
        <f>'Tax Sched 23'!F12</f>
        <v>17976</v>
      </c>
      <c r="C1801" s="2" t="s">
        <v>569</v>
      </c>
      <c r="D1801" s="2" t="str">
        <f t="shared" si="27"/>
        <v>Error?</v>
      </c>
    </row>
    <row r="1802" spans="1:4" x14ac:dyDescent="0.2">
      <c r="A1802" s="5">
        <v>1741</v>
      </c>
      <c r="B1802" s="1832">
        <f>'Tax Sched 23'!F14</f>
        <v>7190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1030253</v>
      </c>
      <c r="C1807" s="2" t="s">
        <v>569</v>
      </c>
      <c r="D1807" s="2" t="str">
        <f t="shared" si="27"/>
        <v>Error?</v>
      </c>
    </row>
    <row r="1808" spans="1:4" x14ac:dyDescent="0.2">
      <c r="A1808" s="5">
        <v>1747</v>
      </c>
      <c r="B1808" s="1832">
        <f>'Tax Sched 23'!E4</f>
        <v>636338</v>
      </c>
      <c r="D1808" s="2" t="str">
        <f t="shared" si="27"/>
        <v>Error?</v>
      </c>
    </row>
    <row r="1809" spans="1:4" x14ac:dyDescent="0.2">
      <c r="A1809" s="5">
        <v>1748</v>
      </c>
      <c r="B1809" s="1832">
        <f>'Tax Sched 23'!E5</f>
        <v>143805</v>
      </c>
      <c r="D1809" s="2" t="str">
        <f t="shared" si="27"/>
        <v>Error?</v>
      </c>
    </row>
    <row r="1810" spans="1:4" x14ac:dyDescent="0.2">
      <c r="A1810" s="5">
        <v>1749</v>
      </c>
      <c r="B1810" s="1832">
        <f>'Tax Sched 23'!E6</f>
        <v>33341</v>
      </c>
      <c r="D1810" s="2" t="str">
        <f t="shared" si="27"/>
        <v>Error?</v>
      </c>
    </row>
    <row r="1811" spans="1:4" x14ac:dyDescent="0.2">
      <c r="A1811" s="5">
        <v>1750</v>
      </c>
      <c r="B1811" s="1832">
        <f>'Tax Sched 23'!E7</f>
        <v>43142</v>
      </c>
      <c r="D1811" s="2" t="str">
        <f t="shared" si="27"/>
        <v>Error?</v>
      </c>
    </row>
    <row r="1812" spans="1:4" x14ac:dyDescent="0.2">
      <c r="A1812" s="5">
        <v>1751</v>
      </c>
      <c r="B1812" s="1832">
        <f>'Tax Sched 23'!E8</f>
        <v>17501</v>
      </c>
      <c r="D1812" s="2" t="str">
        <f t="shared" si="27"/>
        <v>Error?</v>
      </c>
    </row>
    <row r="1813" spans="1:4" x14ac:dyDescent="0.2">
      <c r="A1813" s="5">
        <v>1752</v>
      </c>
      <c r="B1813" s="1832">
        <f>'Tax Sched 23'!E10</f>
        <v>17976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67006</v>
      </c>
      <c r="D1816" s="2" t="str">
        <f t="shared" si="27"/>
        <v>Error?</v>
      </c>
    </row>
    <row r="1817" spans="1:4" x14ac:dyDescent="0.2">
      <c r="A1817" s="5">
        <v>1756</v>
      </c>
      <c r="B1817" s="1832">
        <f>'Tax Sched 23'!E12</f>
        <v>17976</v>
      </c>
      <c r="D1817" s="2" t="str">
        <f t="shared" si="27"/>
        <v>Error?</v>
      </c>
    </row>
    <row r="1818" spans="1:4" x14ac:dyDescent="0.2">
      <c r="A1818" s="5">
        <v>1757</v>
      </c>
      <c r="B1818" s="1832">
        <f>'Tax Sched 23'!E14</f>
        <v>7190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1030253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345204</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6692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6692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6692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5000</v>
      </c>
      <c r="D2008" s="2" t="str">
        <f t="shared" si="30"/>
        <v>Error?</v>
      </c>
    </row>
    <row r="2009" spans="1:4" x14ac:dyDescent="0.2">
      <c r="A2009" s="5">
        <v>1948</v>
      </c>
      <c r="B2009" s="1832">
        <f>'Cap Outlay Deprec 26'!C8</f>
        <v>1087546</v>
      </c>
      <c r="D2009" s="2" t="str">
        <f t="shared" si="30"/>
        <v>Error?</v>
      </c>
    </row>
    <row r="2010" spans="1:4" x14ac:dyDescent="0.2">
      <c r="A2010" s="5">
        <v>1949</v>
      </c>
      <c r="B2010" s="1832">
        <f>'Cap Outlay Deprec 26'!C10</f>
        <v>14429</v>
      </c>
      <c r="D2010" s="2" t="str">
        <f t="shared" si="30"/>
        <v>Error?</v>
      </c>
    </row>
    <row r="2011" spans="1:4" x14ac:dyDescent="0.2">
      <c r="A2011" s="5">
        <v>1950</v>
      </c>
      <c r="B2011" s="1832">
        <f>'Cap Outlay Deprec 26'!C12</f>
        <v>162733</v>
      </c>
      <c r="D2011" s="2" t="str">
        <f t="shared" si="30"/>
        <v>Error?</v>
      </c>
    </row>
    <row r="2012" spans="1:4" x14ac:dyDescent="0.2">
      <c r="A2012" s="5">
        <v>1951</v>
      </c>
      <c r="B2012" s="1832">
        <f>'Cap Outlay Deprec 26'!C13</f>
        <v>78950</v>
      </c>
      <c r="D2012" s="2" t="str">
        <f t="shared" si="30"/>
        <v>Error?</v>
      </c>
    </row>
    <row r="2013" spans="1:4" x14ac:dyDescent="0.2">
      <c r="A2013" s="5">
        <v>1952</v>
      </c>
      <c r="B2013" s="1832">
        <f>'Cap Outlay Deprec 26'!C16</f>
        <v>1348658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508190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10844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519034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5000</v>
      </c>
      <c r="C2026" s="2" t="s">
        <v>569</v>
      </c>
      <c r="D2026" s="2" t="str">
        <f t="shared" si="30"/>
        <v>Error?</v>
      </c>
    </row>
    <row r="2027" spans="1:4" x14ac:dyDescent="0.2">
      <c r="A2027" s="5">
        <v>1966</v>
      </c>
      <c r="B2027" s="1832">
        <f>'Cap Outlay Deprec 26'!F8</f>
        <v>1595736</v>
      </c>
      <c r="C2027" s="2" t="s">
        <v>569</v>
      </c>
      <c r="D2027" s="2" t="str">
        <f t="shared" si="30"/>
        <v>Error?</v>
      </c>
    </row>
    <row r="2028" spans="1:4" x14ac:dyDescent="0.2">
      <c r="A2028" s="5">
        <v>1967</v>
      </c>
      <c r="B2028" s="1832">
        <f>'Cap Outlay Deprec 26'!F10</f>
        <v>14429</v>
      </c>
      <c r="C2028" s="2" t="s">
        <v>569</v>
      </c>
      <c r="D2028" s="2" t="str">
        <f t="shared" si="30"/>
        <v>Error?</v>
      </c>
    </row>
    <row r="2029" spans="1:4" x14ac:dyDescent="0.2">
      <c r="A2029" s="5">
        <v>1968</v>
      </c>
      <c r="B2029" s="1832">
        <f>'Cap Outlay Deprec 26'!F12</f>
        <v>173577</v>
      </c>
      <c r="C2029" s="2" t="s">
        <v>569</v>
      </c>
      <c r="D2029" s="2" t="str">
        <f t="shared" si="30"/>
        <v>Error?</v>
      </c>
    </row>
    <row r="2030" spans="1:4" x14ac:dyDescent="0.2">
      <c r="A2030" s="5">
        <v>1969</v>
      </c>
      <c r="B2030" s="1832">
        <f>'Cap Outlay Deprec 26'!F13</f>
        <v>78950</v>
      </c>
      <c r="C2030" s="2" t="s">
        <v>569</v>
      </c>
      <c r="D2030" s="2" t="str">
        <f t="shared" si="30"/>
        <v>Error?</v>
      </c>
    </row>
    <row r="2031" spans="1:4" x14ac:dyDescent="0.2">
      <c r="A2031" s="5">
        <v>1970</v>
      </c>
      <c r="B2031" s="1832">
        <f>'Cap Outlay Deprec 26'!F16</f>
        <v>1867692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494111</v>
      </c>
      <c r="D2033" s="2" t="str">
        <f t="shared" si="30"/>
        <v>Error?</v>
      </c>
    </row>
    <row r="2034" spans="1:4" x14ac:dyDescent="0.2">
      <c r="A2034" s="5">
        <v>1973</v>
      </c>
      <c r="B2034" s="1832">
        <f>'Cap Outlay Deprec 26'!H10</f>
        <v>14429</v>
      </c>
      <c r="D2034" s="2" t="str">
        <f t="shared" si="30"/>
        <v>Error?</v>
      </c>
    </row>
    <row r="2035" spans="1:4" x14ac:dyDescent="0.2">
      <c r="A2035" s="5">
        <v>1974</v>
      </c>
      <c r="B2035" s="1832">
        <f>'Cap Outlay Deprec 26'!H12</f>
        <v>157439</v>
      </c>
      <c r="D2035" s="2" t="str">
        <f t="shared" si="30"/>
        <v>Error?</v>
      </c>
    </row>
    <row r="2036" spans="1:4" x14ac:dyDescent="0.2">
      <c r="A2036" s="5">
        <v>1975</v>
      </c>
      <c r="B2036" s="1832">
        <f>'Cap Outlay Deprec 26'!H13</f>
        <v>57887</v>
      </c>
      <c r="D2036" s="2" t="str">
        <f t="shared" si="30"/>
        <v>Error?</v>
      </c>
    </row>
    <row r="2037" spans="1:4" x14ac:dyDescent="0.2">
      <c r="A2037" s="5">
        <v>1976</v>
      </c>
      <c r="B2037" s="1832">
        <f>'Cap Outlay Deprec 26'!H16</f>
        <v>723866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57599</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2117</v>
      </c>
      <c r="D2041" s="2" t="str">
        <f t="shared" si="30"/>
        <v>Error?</v>
      </c>
    </row>
    <row r="2042" spans="1:4" x14ac:dyDescent="0.2">
      <c r="A2042" s="5">
        <v>1981</v>
      </c>
      <c r="B2042" s="1832">
        <f>'Cap Outlay Deprec 26'!I13</f>
        <v>9039</v>
      </c>
      <c r="D2042" s="2" t="str">
        <f t="shared" si="30"/>
        <v>Error?</v>
      </c>
    </row>
    <row r="2043" spans="1:4" x14ac:dyDescent="0.2">
      <c r="A2043" s="5">
        <v>1982</v>
      </c>
      <c r="B2043" s="1832">
        <f>'Cap Outlay Deprec 26'!I16</f>
        <v>68755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551710</v>
      </c>
      <c r="C2051" s="2" t="s">
        <v>569</v>
      </c>
      <c r="D2051" s="2" t="str">
        <f t="shared" si="31"/>
        <v>Error?</v>
      </c>
    </row>
    <row r="2052" spans="1:4" x14ac:dyDescent="0.2">
      <c r="A2052" s="5">
        <v>1991</v>
      </c>
      <c r="B2052" s="1832">
        <f>'Cap Outlay Deprec 26'!K10</f>
        <v>14429</v>
      </c>
      <c r="C2052" s="2" t="s">
        <v>569</v>
      </c>
      <c r="D2052" s="2" t="str">
        <f t="shared" si="31"/>
        <v>Error?</v>
      </c>
    </row>
    <row r="2053" spans="1:4" x14ac:dyDescent="0.2">
      <c r="A2053" s="5">
        <v>1992</v>
      </c>
      <c r="B2053" s="1832">
        <f>'Cap Outlay Deprec 26'!K12</f>
        <v>159556</v>
      </c>
      <c r="C2053" s="2" t="s">
        <v>569</v>
      </c>
      <c r="D2053" s="2" t="str">
        <f t="shared" si="31"/>
        <v>Error?</v>
      </c>
    </row>
    <row r="2054" spans="1:4" x14ac:dyDescent="0.2">
      <c r="A2054" s="5">
        <v>1993</v>
      </c>
      <c r="B2054" s="1832">
        <f>'Cap Outlay Deprec 26'!K13</f>
        <v>66926</v>
      </c>
      <c r="C2054" s="2" t="s">
        <v>569</v>
      </c>
      <c r="D2054" s="2" t="str">
        <f t="shared" si="31"/>
        <v>Error?</v>
      </c>
    </row>
    <row r="2055" spans="1:4" x14ac:dyDescent="0.2">
      <c r="A2055" s="5">
        <v>1994</v>
      </c>
      <c r="B2055" s="1832">
        <f>'Cap Outlay Deprec 26'!K16</f>
        <v>792621</v>
      </c>
      <c r="C2055" s="2" t="s">
        <v>569</v>
      </c>
      <c r="D2055" s="2" t="str">
        <f t="shared" si="31"/>
        <v>Error?</v>
      </c>
    </row>
    <row r="2056" spans="1:4" x14ac:dyDescent="0.2">
      <c r="A2056" s="5">
        <v>1995</v>
      </c>
      <c r="B2056" s="1832">
        <f>'Cap Outlay Deprec 26'!L5</f>
        <v>5000</v>
      </c>
      <c r="C2056" s="2" t="s">
        <v>569</v>
      </c>
      <c r="D2056" s="2" t="str">
        <f t="shared" si="31"/>
        <v>Error?</v>
      </c>
    </row>
    <row r="2057" spans="1:4" x14ac:dyDescent="0.2">
      <c r="A2057" s="5">
        <v>1996</v>
      </c>
      <c r="B2057" s="1832">
        <f>'Cap Outlay Deprec 26'!L8</f>
        <v>1044026</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14021</v>
      </c>
      <c r="C2059" s="2" t="s">
        <v>569</v>
      </c>
      <c r="D2059" s="2" t="str">
        <f t="shared" si="31"/>
        <v>Error?</v>
      </c>
    </row>
    <row r="2060" spans="1:4" x14ac:dyDescent="0.2">
      <c r="A2060" s="5">
        <v>1999</v>
      </c>
      <c r="B2060" s="1832">
        <f>'Cap Outlay Deprec 26'!L13</f>
        <v>12024</v>
      </c>
      <c r="C2060" s="2" t="s">
        <v>569</v>
      </c>
      <c r="D2060" s="2" t="str">
        <f t="shared" si="31"/>
        <v>Error?</v>
      </c>
    </row>
    <row r="2061" spans="1:4" x14ac:dyDescent="0.2">
      <c r="A2061" s="5">
        <v>2000</v>
      </c>
      <c r="B2061" s="1832">
        <f>'Cap Outlay Deprec 26'!L16</f>
        <v>1075071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9747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41436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156867</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46926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28385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969951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92449</v>
      </c>
      <c r="C2553" s="2" t="s">
        <v>569</v>
      </c>
      <c r="D2553" s="2" t="str">
        <f t="shared" si="38"/>
        <v>Error?</v>
      </c>
    </row>
    <row r="2554" spans="1:4" x14ac:dyDescent="0.2">
      <c r="A2554" s="5">
        <v>2493</v>
      </c>
      <c r="B2554" s="1832">
        <f>'Acct Summary 7-8'!C7</f>
        <v>91277</v>
      </c>
      <c r="C2554" s="2" t="s">
        <v>569</v>
      </c>
      <c r="D2554" s="2" t="str">
        <f t="shared" si="38"/>
        <v>Error?</v>
      </c>
    </row>
    <row r="2555" spans="1:4" x14ac:dyDescent="0.2">
      <c r="A2555" s="5">
        <v>2494</v>
      </c>
      <c r="B2555" s="1832">
        <f>'Acct Summary 7-8'!C8</f>
        <v>1153677</v>
      </c>
      <c r="C2555" s="2" t="s">
        <v>569</v>
      </c>
      <c r="D2555" s="2" t="str">
        <f t="shared" si="38"/>
        <v>Error?</v>
      </c>
    </row>
    <row r="2556" spans="1:4" x14ac:dyDescent="0.2">
      <c r="A2556" s="5">
        <v>2495</v>
      </c>
      <c r="B2556" s="1832">
        <f>'Acct Summary 7-8'!C12</f>
        <v>796379</v>
      </c>
      <c r="C2556" s="2" t="s">
        <v>569</v>
      </c>
      <c r="D2556" s="2" t="str">
        <f t="shared" si="38"/>
        <v>Error?</v>
      </c>
    </row>
    <row r="2557" spans="1:4" x14ac:dyDescent="0.2">
      <c r="A2557" s="5">
        <v>2496</v>
      </c>
      <c r="B2557" s="1832">
        <f>'Acct Summary 7-8'!C13</f>
        <v>246910</v>
      </c>
      <c r="C2557" s="2" t="s">
        <v>569</v>
      </c>
      <c r="D2557" s="2" t="str">
        <f t="shared" si="38"/>
        <v>Error?</v>
      </c>
    </row>
    <row r="2558" spans="1:4" x14ac:dyDescent="0.2">
      <c r="A2558" s="5">
        <v>2497</v>
      </c>
      <c r="B2558" s="1832">
        <f>'Acct Summary 7-8'!C14</f>
        <v>180</v>
      </c>
      <c r="C2558" s="2" t="s">
        <v>569</v>
      </c>
      <c r="D2558" s="2" t="str">
        <f t="shared" si="38"/>
        <v>Error?</v>
      </c>
    </row>
    <row r="2559" spans="1:4" x14ac:dyDescent="0.2">
      <c r="A2559" s="5">
        <v>2498</v>
      </c>
      <c r="B2559" s="1832">
        <f>'Acct Summary 7-8'!C15</f>
        <v>41436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1084905</v>
      </c>
      <c r="C2561" s="2" t="s">
        <v>569</v>
      </c>
      <c r="D2561" s="2" t="str">
        <f t="shared" si="39"/>
        <v>Error?</v>
      </c>
    </row>
    <row r="2562" spans="1:4" x14ac:dyDescent="0.2">
      <c r="A2562" s="5">
        <v>2501</v>
      </c>
      <c r="B2562" s="1832">
        <f>'Acct Summary 7-8'!C20</f>
        <v>68772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155869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95000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250869</v>
      </c>
      <c r="C2568" s="2" t="s">
        <v>569</v>
      </c>
      <c r="D2568" s="2" t="str">
        <f t="shared" si="39"/>
        <v>Error?</v>
      </c>
    </row>
    <row r="2569" spans="1:4" x14ac:dyDescent="0.2">
      <c r="A2569" s="5">
        <v>2508</v>
      </c>
      <c r="B2569" s="1832">
        <f>'Acct Summary 7-8'!D13</f>
        <v>127126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127126</v>
      </c>
      <c r="C2573" s="2" t="s">
        <v>569</v>
      </c>
      <c r="D2573" s="2" t="str">
        <f t="shared" si="39"/>
        <v>Error?</v>
      </c>
    </row>
    <row r="2574" spans="1:4" x14ac:dyDescent="0.2">
      <c r="A2574" s="5">
        <v>2513</v>
      </c>
      <c r="B2574" s="1832">
        <f>'Acct Summary 7-8'!D20</f>
        <v>123743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40142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60099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100241</v>
      </c>
      <c r="C2595" s="2" t="s">
        <v>569</v>
      </c>
      <c r="D2595" s="2" t="str">
        <f t="shared" si="39"/>
        <v>Error?</v>
      </c>
    </row>
    <row r="2596" spans="1:4" x14ac:dyDescent="0.2">
      <c r="A2596" s="5">
        <v>2535</v>
      </c>
      <c r="B2596" s="1832">
        <f>'Acct Summary 7-8'!F13</f>
        <v>77779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10791</v>
      </c>
      <c r="C2599" s="2" t="s">
        <v>569</v>
      </c>
      <c r="D2599" s="2" t="str">
        <f t="shared" si="39"/>
        <v>Error?</v>
      </c>
    </row>
    <row r="2600" spans="1:4" x14ac:dyDescent="0.2">
      <c r="A2600" s="5">
        <v>2539</v>
      </c>
      <c r="B2600" s="1832">
        <f>'Acct Summary 7-8'!F17</f>
        <v>88570</v>
      </c>
      <c r="C2600" s="2" t="s">
        <v>569</v>
      </c>
      <c r="D2600" s="2" t="str">
        <f t="shared" si="39"/>
        <v>Error?</v>
      </c>
    </row>
    <row r="2601" spans="1:4" x14ac:dyDescent="0.2">
      <c r="A2601" s="5">
        <v>2540</v>
      </c>
      <c r="B2601" s="1832">
        <f>'Acct Summary 7-8'!F20</f>
        <v>11671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50688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50688</v>
      </c>
      <c r="C2606" s="2" t="s">
        <v>569</v>
      </c>
      <c r="D2606" s="2" t="str">
        <f t="shared" si="39"/>
        <v>Error?</v>
      </c>
    </row>
    <row r="2607" spans="1:4" x14ac:dyDescent="0.2">
      <c r="A2607" s="5">
        <v>2546</v>
      </c>
      <c r="B2607" s="1832">
        <f>'Acct Summary 7-8'!G12</f>
        <v>17387</v>
      </c>
      <c r="C2607" s="2" t="s">
        <v>569</v>
      </c>
      <c r="D2607" s="2" t="str">
        <f t="shared" si="39"/>
        <v>Error?</v>
      </c>
    </row>
    <row r="2608" spans="1:4" x14ac:dyDescent="0.2">
      <c r="A2608" s="5">
        <v>2547</v>
      </c>
      <c r="B2608" s="1832">
        <f>'Acct Summary 7-8'!G13</f>
        <v>29538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46925</v>
      </c>
      <c r="C2612" s="2" t="s">
        <v>569</v>
      </c>
      <c r="D2612" s="2" t="str">
        <f t="shared" si="39"/>
        <v>Error?</v>
      </c>
    </row>
    <row r="2613" spans="1:4" x14ac:dyDescent="0.2">
      <c r="A2613" s="5">
        <v>2552</v>
      </c>
      <c r="B2613" s="1832">
        <f>'Acct Summary 7-8'!G20</f>
        <v>3763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33705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33705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33666</v>
      </c>
      <c r="C2634" s="2" t="s">
        <v>569</v>
      </c>
      <c r="D2634" s="2" t="str">
        <f t="shared" si="40"/>
        <v>Error?</v>
      </c>
    </row>
    <row r="2635" spans="1:4" x14ac:dyDescent="0.2">
      <c r="A2635" s="5">
        <v>2574</v>
      </c>
      <c r="B2635" s="1832">
        <f>'Acct Summary 7-8'!E17</f>
        <v>33666</v>
      </c>
      <c r="C2635" s="2" t="s">
        <v>569</v>
      </c>
      <c r="D2635" s="2" t="str">
        <f t="shared" si="40"/>
        <v>Error?</v>
      </c>
    </row>
    <row r="2636" spans="1:4" x14ac:dyDescent="0.2">
      <c r="A2636" s="5">
        <v>2575</v>
      </c>
      <c r="B2636" s="1832">
        <f>'Acct Summary 7-8'!E20</f>
        <v>39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31689</v>
      </c>
      <c r="C2789" s="2" t="s">
        <v>569</v>
      </c>
      <c r="D2789" s="2" t="str">
        <f t="shared" si="42"/>
        <v>Error?</v>
      </c>
    </row>
    <row r="2790" spans="1:4" x14ac:dyDescent="0.2">
      <c r="A2790" s="5">
        <v>2729</v>
      </c>
      <c r="B2790" s="1832">
        <f>'Expenditures 15-22'!E102</f>
        <v>31689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164722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165763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165763</v>
      </c>
      <c r="D2912" s="2" t="str">
        <f t="shared" si="44"/>
        <v>Error?</v>
      </c>
    </row>
    <row r="2913" spans="1:4" x14ac:dyDescent="0.2">
      <c r="A2913" s="5">
        <v>2852</v>
      </c>
      <c r="B2913" s="1832">
        <f>'Assets-Liab 5-6'!I41</f>
        <v>165763</v>
      </c>
      <c r="C2913" s="2" t="s">
        <v>569</v>
      </c>
      <c r="D2913" s="2" t="str">
        <f t="shared" si="44"/>
        <v>Error?</v>
      </c>
    </row>
    <row r="2914" spans="1:4" x14ac:dyDescent="0.2">
      <c r="A2914" s="5">
        <v>2853</v>
      </c>
      <c r="B2914" s="1832">
        <f>'Assets-Liab 5-6'!L33</f>
        <v>84</v>
      </c>
      <c r="D2914" s="2" t="str">
        <f t="shared" si="44"/>
        <v>Error?</v>
      </c>
    </row>
    <row r="2915" spans="1:4" x14ac:dyDescent="0.2">
      <c r="A2915" s="10">
        <v>2854</v>
      </c>
      <c r="B2915" s="1832"/>
      <c r="D2915" s="2" t="str">
        <f t="shared" si="44"/>
        <v>OK</v>
      </c>
    </row>
    <row r="2916" spans="1:4" x14ac:dyDescent="0.2">
      <c r="A2916" s="5">
        <v>2855</v>
      </c>
      <c r="B2916" s="1832">
        <f>'Assets-Liab 5-6'!L34</f>
        <v>84</v>
      </c>
      <c r="C2916" s="2" t="s">
        <v>569</v>
      </c>
      <c r="D2916" s="2" t="str">
        <f t="shared" si="44"/>
        <v>Error?</v>
      </c>
    </row>
    <row r="2917" spans="1:4" x14ac:dyDescent="0.2">
      <c r="A2917" s="5">
        <v>2856</v>
      </c>
      <c r="B2917" s="1832">
        <f>'Assets-Liab 5-6'!L41</f>
        <v>84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31689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9747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41436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16971</v>
      </c>
      <c r="D3055" s="2" t="str">
        <f t="shared" si="46"/>
        <v>Error?</v>
      </c>
    </row>
    <row r="3056" spans="1:4" x14ac:dyDescent="0.2">
      <c r="A3056" s="5">
        <v>2995</v>
      </c>
      <c r="B3056" s="1832">
        <f>'Expenditures 15-22'!D10</f>
        <v>7935</v>
      </c>
      <c r="D3056" s="2" t="str">
        <f t="shared" si="46"/>
        <v>Error?</v>
      </c>
    </row>
    <row r="3057" spans="1:4" x14ac:dyDescent="0.2">
      <c r="A3057" s="5">
        <v>2996</v>
      </c>
      <c r="B3057" s="1832">
        <f>'Expenditures 15-22'!E10</f>
        <v>2535</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27441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3647</v>
      </c>
      <c r="D3064" s="2" t="str">
        <f t="shared" si="46"/>
        <v>Error?</v>
      </c>
    </row>
    <row r="3065" spans="1:4" x14ac:dyDescent="0.2">
      <c r="A3065" s="5">
        <v>3004</v>
      </c>
      <c r="B3065" s="1832">
        <f>'Expenditures 15-22'!K219</f>
        <v>3647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16728</v>
      </c>
      <c r="C3225" s="2" t="s">
        <v>569</v>
      </c>
      <c r="D3225" s="2" t="str">
        <f t="shared" si="49"/>
        <v>Error?</v>
      </c>
    </row>
    <row r="3226" spans="1:4" x14ac:dyDescent="0.2">
      <c r="A3226" s="5">
        <v>3165</v>
      </c>
      <c r="B3226" s="1832">
        <f>'Acct Summary 7-8'!I8</f>
        <v>16728</v>
      </c>
      <c r="C3226" s="2" t="s">
        <v>569</v>
      </c>
      <c r="D3226" s="2" t="str">
        <f t="shared" si="49"/>
        <v>Error?</v>
      </c>
    </row>
    <row r="3227" spans="1:4" x14ac:dyDescent="0.2">
      <c r="A3227" s="5">
        <v>3166</v>
      </c>
      <c r="B3227" s="1832">
        <f>'Acct Summary 7-8'!I20</f>
        <v>16728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68772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123743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2500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2500</v>
      </c>
      <c r="C3255" s="2" t="s">
        <v>569</v>
      </c>
      <c r="D3255" s="2" t="str">
        <f t="shared" si="49"/>
        <v>Error?</v>
      </c>
    </row>
    <row r="3256" spans="1:4" x14ac:dyDescent="0.2">
      <c r="A3256" s="5">
        <v>3195</v>
      </c>
      <c r="B3256" s="1832">
        <f>'Acct Summary 7-8'!F78</f>
        <v>14171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3763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156867</v>
      </c>
      <c r="C3318" s="2" t="s">
        <v>569</v>
      </c>
      <c r="D3318" s="2" t="str">
        <f t="shared" si="50"/>
        <v>Error?</v>
      </c>
    </row>
    <row r="3319" spans="1:4" x14ac:dyDescent="0.2">
      <c r="A3319" s="5">
        <v>3258</v>
      </c>
      <c r="B3319" s="1832">
        <f>'Acct Summary 7-8'!I77</f>
        <v>-156867</v>
      </c>
      <c r="C3319" s="2" t="s">
        <v>569</v>
      </c>
      <c r="D3319" s="2" t="str">
        <f t="shared" si="50"/>
        <v>Error?</v>
      </c>
    </row>
    <row r="3320" spans="1:4" x14ac:dyDescent="0.2">
      <c r="A3320" s="5">
        <v>3259</v>
      </c>
      <c r="B3320" s="1832">
        <f>'Acct Summary 7-8'!I78</f>
        <v>-140139</v>
      </c>
      <c r="C3320" s="2" t="s">
        <v>569</v>
      </c>
      <c r="D3320" s="2" t="str">
        <f t="shared" si="50"/>
        <v>Error?</v>
      </c>
    </row>
    <row r="3321" spans="1:4" x14ac:dyDescent="0.2">
      <c r="A3321" s="5">
        <v>3260</v>
      </c>
      <c r="B3321" s="1832">
        <f>'Acct Summary 7-8'!I79</f>
        <v>305902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165763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78406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14565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657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93742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5701</v>
      </c>
      <c r="D3387" s="2" t="str">
        <f t="shared" si="51"/>
        <v>Error?</v>
      </c>
    </row>
    <row r="3388" spans="1:4" x14ac:dyDescent="0.2">
      <c r="A3388" s="5">
        <v>3327</v>
      </c>
      <c r="B3388" s="1832">
        <f>'Expenditures 15-22'!D217</f>
        <v>7806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5701</v>
      </c>
      <c r="C3390" s="2" t="s">
        <v>569</v>
      </c>
      <c r="D3390" s="2" t="str">
        <f t="shared" si="51"/>
        <v>Error?</v>
      </c>
    </row>
    <row r="3391" spans="1:4" x14ac:dyDescent="0.2">
      <c r="A3391" s="5">
        <v>3330</v>
      </c>
      <c r="B3391" s="1832">
        <f>'Expenditures 15-22'!K217</f>
        <v>7806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88275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63909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284</v>
      </c>
      <c r="D3417" s="2" t="str">
        <f t="shared" si="52"/>
        <v>Error?</v>
      </c>
    </row>
    <row r="3418" spans="1:4" x14ac:dyDescent="0.2">
      <c r="A3418" s="10">
        <v>3357</v>
      </c>
      <c r="B3418" s="1832"/>
      <c r="D3418" s="2" t="str">
        <f t="shared" si="52"/>
        <v>OK</v>
      </c>
    </row>
    <row r="3419" spans="1:4" x14ac:dyDescent="0.2">
      <c r="A3419" s="5">
        <v>3358</v>
      </c>
      <c r="B3419" s="1832">
        <f>'Assets-Liab 5-6'!F4</f>
        <v>22324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5446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1041</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27742</v>
      </c>
      <c r="C3446" s="2" t="s">
        <v>569</v>
      </c>
      <c r="D3446" s="2" t="str">
        <f t="shared" si="52"/>
        <v>Error?</v>
      </c>
    </row>
    <row r="3447" spans="1:4" x14ac:dyDescent="0.2">
      <c r="A3447" s="5">
        <v>3386</v>
      </c>
      <c r="B3447" s="1832">
        <f>'Tax Sched 23'!D16</f>
        <v>27742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28002</v>
      </c>
      <c r="C3449" s="2" t="s">
        <v>569</v>
      </c>
      <c r="D3449" s="2" t="str">
        <f t="shared" si="52"/>
        <v>Error?</v>
      </c>
    </row>
    <row r="3450" spans="1:4" x14ac:dyDescent="0.2">
      <c r="A3450" s="5">
        <v>3389</v>
      </c>
      <c r="B3450" s="1832">
        <f>'Tax Sched 23'!E16</f>
        <v>28002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2500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2885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1024</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3909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3909</v>
      </c>
      <c r="D3567" s="2" t="str">
        <f t="shared" si="54"/>
        <v>Error?</v>
      </c>
    </row>
    <row r="3568" spans="1:4" x14ac:dyDescent="0.2">
      <c r="A3568" s="5">
        <v>3507</v>
      </c>
      <c r="B3568" s="1832">
        <f>'Assets-Liab 5-6'!K41</f>
        <v>3909</v>
      </c>
      <c r="C3568" s="2" t="s">
        <v>569</v>
      </c>
      <c r="D3568" s="2" t="str">
        <f t="shared" si="54"/>
        <v>Error?</v>
      </c>
    </row>
    <row r="3569" spans="1:4" x14ac:dyDescent="0.2">
      <c r="A3569" s="5">
        <v>3508</v>
      </c>
      <c r="B3569" s="1832">
        <f>'Acct Summary 7-8'!K4</f>
        <v>22422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22422</v>
      </c>
      <c r="C3571" s="2" t="s">
        <v>569</v>
      </c>
      <c r="D3571" s="2" t="str">
        <f t="shared" si="54"/>
        <v>Error?</v>
      </c>
    </row>
    <row r="3572" spans="1:4" x14ac:dyDescent="0.2">
      <c r="A3572" s="5">
        <v>3511</v>
      </c>
      <c r="B3572" s="1832">
        <f>'Acct Summary 7-8'!K13</f>
        <v>511962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511962</v>
      </c>
      <c r="C3575" s="2" t="s">
        <v>569</v>
      </c>
      <c r="D3575" s="2" t="str">
        <f t="shared" si="54"/>
        <v>Error?</v>
      </c>
    </row>
    <row r="3576" spans="1:4" x14ac:dyDescent="0.2">
      <c r="A3576" s="5">
        <v>3515</v>
      </c>
      <c r="B3576" s="1832">
        <f>'Acct Summary 7-8'!K20</f>
        <v>-489540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156867</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156867</v>
      </c>
      <c r="C3587" s="2" t="s">
        <v>569</v>
      </c>
      <c r="D3587" s="2" t="str">
        <f t="shared" si="55"/>
        <v>Error?</v>
      </c>
    </row>
    <row r="3588" spans="1:4" x14ac:dyDescent="0.2">
      <c r="A3588" s="5">
        <v>3527</v>
      </c>
      <c r="B3588" s="1832">
        <f>'Acct Summary 7-8'!K78</f>
        <v>-332673</v>
      </c>
      <c r="C3588" s="2" t="s">
        <v>569</v>
      </c>
      <c r="D3588" s="2" t="str">
        <f t="shared" si="55"/>
        <v>Error?</v>
      </c>
    </row>
    <row r="3589" spans="1:4" x14ac:dyDescent="0.2">
      <c r="A3589" s="5">
        <v>3528</v>
      </c>
      <c r="B3589" s="1832">
        <f>'Acct Summary 7-8'!K79</f>
        <v>336582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3909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3772</v>
      </c>
      <c r="D3632" s="2" t="str">
        <f t="shared" si="55"/>
        <v>Error?</v>
      </c>
    </row>
    <row r="3633" spans="1:4" x14ac:dyDescent="0.2">
      <c r="A3633" s="5">
        <v>3572</v>
      </c>
      <c r="B3633" s="1832">
        <f>'Expenditures 15-22'!E350</f>
        <v>3772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3772</v>
      </c>
      <c r="C3635" s="2" t="s">
        <v>569</v>
      </c>
      <c r="D3635" s="2" t="str">
        <f t="shared" si="55"/>
        <v>Error?</v>
      </c>
    </row>
    <row r="3636" spans="1:4" x14ac:dyDescent="0.2">
      <c r="A3636" s="5">
        <v>3575</v>
      </c>
      <c r="B3636" s="1832">
        <f>'Expenditures 15-22'!E367</f>
        <v>3772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508190</v>
      </c>
      <c r="D3646" s="2" t="str">
        <f t="shared" si="55"/>
        <v>Error?</v>
      </c>
    </row>
    <row r="3647" spans="1:4" x14ac:dyDescent="0.2">
      <c r="A3647" s="5">
        <v>3586</v>
      </c>
      <c r="B3647" s="1832">
        <f>'Expenditures 15-22'!G350</f>
        <v>508190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508190</v>
      </c>
      <c r="C3649" s="2" t="s">
        <v>569</v>
      </c>
      <c r="D3649" s="2" t="str">
        <f t="shared" si="56"/>
        <v>Error?</v>
      </c>
    </row>
    <row r="3650" spans="1:4" x14ac:dyDescent="0.2">
      <c r="A3650" s="5">
        <v>3589</v>
      </c>
      <c r="B3650" s="1832">
        <f>'Expenditures 15-22'!G367</f>
        <v>508190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511962</v>
      </c>
      <c r="C3669" s="2" t="s">
        <v>569</v>
      </c>
      <c r="D3669" s="2" t="str">
        <f t="shared" si="56"/>
        <v>Error?</v>
      </c>
    </row>
    <row r="3670" spans="1:4" x14ac:dyDescent="0.2">
      <c r="A3670" s="5">
        <v>3609</v>
      </c>
      <c r="B3670" s="1832">
        <f>'Expenditures 15-22'!K350</f>
        <v>511962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511962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511962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-489540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16728</v>
      </c>
      <c r="C3725" s="2" t="s">
        <v>569</v>
      </c>
      <c r="D3725" s="2" t="str">
        <f t="shared" si="57"/>
        <v>Error?</v>
      </c>
    </row>
    <row r="3726" spans="1:4" x14ac:dyDescent="0.2">
      <c r="A3726" s="5">
        <v>3665</v>
      </c>
      <c r="B3726" s="1832">
        <f>'Tax Sched 23'!D13</f>
        <v>16728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17976</v>
      </c>
      <c r="C3728" s="2" t="s">
        <v>569</v>
      </c>
      <c r="D3728" s="2" t="str">
        <f t="shared" si="57"/>
        <v>Error?</v>
      </c>
    </row>
    <row r="3729" spans="1:4" x14ac:dyDescent="0.2">
      <c r="A3729" s="5">
        <v>3668</v>
      </c>
      <c r="B3729" s="1832">
        <f>'Tax Sched 23'!E13</f>
        <v>17976</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556772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1710449</v>
      </c>
      <c r="C4122" s="2" t="s">
        <v>569</v>
      </c>
      <c r="D4122" s="2" t="str">
        <f t="shared" si="63"/>
        <v>Error?</v>
      </c>
    </row>
    <row r="4123" spans="1:4" x14ac:dyDescent="0.2">
      <c r="A4123" s="5">
        <v>4062</v>
      </c>
      <c r="B4123" s="1832">
        <f>'Acct Summary 7-8'!D10</f>
        <v>250869</v>
      </c>
      <c r="C4123" s="2" t="s">
        <v>569</v>
      </c>
      <c r="D4123" s="2" t="str">
        <f t="shared" si="63"/>
        <v>Error?</v>
      </c>
    </row>
    <row r="4124" spans="1:4" x14ac:dyDescent="0.2">
      <c r="A4124" s="5">
        <v>4063</v>
      </c>
      <c r="B4124" s="1832">
        <f>'Acct Summary 7-8'!E10</f>
        <v>33705</v>
      </c>
      <c r="C4124" s="2" t="s">
        <v>569</v>
      </c>
      <c r="D4124" s="2" t="str">
        <f t="shared" si="63"/>
        <v>Error?</v>
      </c>
    </row>
    <row r="4125" spans="1:4" x14ac:dyDescent="0.2">
      <c r="A4125" s="5">
        <v>4064</v>
      </c>
      <c r="B4125" s="1832">
        <f>'Acct Summary 7-8'!F10</f>
        <v>100241</v>
      </c>
      <c r="C4125" s="2" t="s">
        <v>569</v>
      </c>
      <c r="D4125" s="2" t="str">
        <f t="shared" si="63"/>
        <v>Error?</v>
      </c>
    </row>
    <row r="4126" spans="1:4" x14ac:dyDescent="0.2">
      <c r="A4126" s="5">
        <v>4065</v>
      </c>
      <c r="B4126" s="1832">
        <f>'Acct Summary 7-8'!G10</f>
        <v>50688</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16728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22422</v>
      </c>
      <c r="C4130" s="2" t="s">
        <v>569</v>
      </c>
      <c r="D4130" s="2" t="str">
        <f t="shared" si="63"/>
        <v>Error?</v>
      </c>
    </row>
    <row r="4131" spans="1:4" x14ac:dyDescent="0.2">
      <c r="A4131" s="5">
        <v>4070</v>
      </c>
      <c r="B4131" s="1832">
        <f>'Acct Summary 7-8'!C18</f>
        <v>556772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1641677</v>
      </c>
      <c r="C4136" s="2" t="s">
        <v>569</v>
      </c>
      <c r="D4136" s="2" t="str">
        <f t="shared" si="63"/>
        <v>Error?</v>
      </c>
    </row>
    <row r="4137" spans="1:4" x14ac:dyDescent="0.2">
      <c r="A4137" s="5">
        <v>4076</v>
      </c>
      <c r="B4137" s="1832">
        <f>'Acct Summary 7-8'!D19</f>
        <v>127126</v>
      </c>
      <c r="C4137" s="2" t="s">
        <v>569</v>
      </c>
      <c r="D4137" s="2" t="str">
        <f t="shared" si="63"/>
        <v>Error?</v>
      </c>
    </row>
    <row r="4138" spans="1:4" x14ac:dyDescent="0.2">
      <c r="A4138" s="5">
        <v>4077</v>
      </c>
      <c r="B4138" s="1832">
        <f>'Acct Summary 7-8'!E19</f>
        <v>33666</v>
      </c>
      <c r="C4138" s="2" t="s">
        <v>569</v>
      </c>
      <c r="D4138" s="2" t="str">
        <f t="shared" si="63"/>
        <v>Error?</v>
      </c>
    </row>
    <row r="4139" spans="1:4" x14ac:dyDescent="0.2">
      <c r="A4139" s="5">
        <v>4078</v>
      </c>
      <c r="B4139" s="1832">
        <f>'Acct Summary 7-8'!F19</f>
        <v>88570</v>
      </c>
      <c r="C4139" s="2" t="s">
        <v>569</v>
      </c>
      <c r="D4139" s="2" t="str">
        <f t="shared" si="63"/>
        <v>Error?</v>
      </c>
    </row>
    <row r="4140" spans="1:4" x14ac:dyDescent="0.2">
      <c r="A4140" s="5">
        <v>4079</v>
      </c>
      <c r="B4140" s="1832">
        <f>'Acct Summary 7-8'!G19</f>
        <v>46925</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511962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315975</v>
      </c>
      <c r="C4171" s="2" t="s">
        <v>569</v>
      </c>
      <c r="D4171" s="2" t="str">
        <f t="shared" si="64"/>
        <v>Error?</v>
      </c>
    </row>
    <row r="4172" spans="1:4" x14ac:dyDescent="0.2">
      <c r="A4172" s="5">
        <v>4111</v>
      </c>
      <c r="B4172" s="1832">
        <f>'Short-Term Long-Term Debt 24'!J49</f>
        <v>313136</v>
      </c>
      <c r="C4172" s="2" t="s">
        <v>569</v>
      </c>
      <c r="D4172" s="2" t="str">
        <f t="shared" si="64"/>
        <v>Error?</v>
      </c>
    </row>
    <row r="4173" spans="1:4" x14ac:dyDescent="0.2">
      <c r="A4173" s="5">
        <v>4112</v>
      </c>
      <c r="B4173" s="1832">
        <f>'Short-Term Long-Term Debt 24'!H49</f>
        <v>29229</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10229</v>
      </c>
      <c r="D4210" s="2" t="str">
        <f t="shared" si="64"/>
        <v>Error?</v>
      </c>
    </row>
    <row r="4211" spans="1:4" x14ac:dyDescent="0.2">
      <c r="A4211" s="5">
        <v>4150</v>
      </c>
      <c r="B4211" s="1832">
        <f>'Expenditures 15-22'!K206</f>
        <v>10229</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1770</v>
      </c>
      <c r="C4265" s="2" t="s">
        <v>569</v>
      </c>
      <c r="D4265" s="2" t="str">
        <f t="shared" si="65"/>
        <v>Error?</v>
      </c>
      <c r="E4265" s="125"/>
    </row>
    <row r="4266" spans="1:5" x14ac:dyDescent="0.2">
      <c r="A4266" s="12">
        <v>4205</v>
      </c>
      <c r="B4266" s="1832">
        <f>('FP Info 3'!F10)*100000</f>
        <v>400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2290</v>
      </c>
      <c r="C4268" s="2" t="s">
        <v>569</v>
      </c>
      <c r="D4268" s="2" t="str">
        <f t="shared" si="65"/>
        <v>Error?</v>
      </c>
    </row>
    <row r="4269" spans="1:5" x14ac:dyDescent="0.2">
      <c r="A4269" s="12">
        <v>4208</v>
      </c>
      <c r="B4269" s="1832">
        <f>'FP Info 3'!J16</f>
        <v>849682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1955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2010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4886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45000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22991</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35951286</v>
      </c>
      <c r="D4995" s="2" t="str">
        <f t="shared" si="77"/>
        <v>Error?</v>
      </c>
    </row>
    <row r="4996" spans="1:4" x14ac:dyDescent="0.2">
      <c r="A4996" s="12">
        <v>4935</v>
      </c>
      <c r="B4996" s="1832">
        <f>'FP Info 3'!H31</f>
        <v>2480638.7340000002</v>
      </c>
      <c r="D4996" s="2" t="str">
        <f t="shared" si="77"/>
        <v>Error?</v>
      </c>
    </row>
    <row r="4997" spans="1:4" x14ac:dyDescent="0.2">
      <c r="A4997" s="12">
        <v>4936</v>
      </c>
      <c r="B4997" s="1832">
        <f>'FP Info 3'!H37</f>
        <v>315975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16728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592048</v>
      </c>
      <c r="D5061" s="2" t="str">
        <f t="shared" si="78"/>
        <v>Error?</v>
      </c>
    </row>
    <row r="5062" spans="1:4" x14ac:dyDescent="0.2">
      <c r="A5062" s="10">
        <v>5001</v>
      </c>
      <c r="B5062" s="1832"/>
      <c r="D5062" s="2" t="str">
        <f t="shared" si="78"/>
        <v>OK</v>
      </c>
    </row>
    <row r="5063" spans="1:4" x14ac:dyDescent="0.2">
      <c r="A5063" s="5">
        <v>5002</v>
      </c>
      <c r="B5063" s="1832">
        <f>'Revenues 9-14'!C7</f>
        <v>6692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615468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244259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244259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21888</v>
      </c>
      <c r="D5088" s="2" t="str">
        <f t="shared" si="78"/>
        <v>Error?</v>
      </c>
    </row>
    <row r="5089" spans="1:4" x14ac:dyDescent="0.2">
      <c r="A5089" s="5">
        <v>5028</v>
      </c>
      <c r="B5089" s="1832">
        <f>'Revenues 9-14'!C66</f>
        <v>2944</v>
      </c>
      <c r="D5089" s="2" t="str">
        <f t="shared" si="78"/>
        <v>Error?</v>
      </c>
    </row>
    <row r="5090" spans="1:4" x14ac:dyDescent="0.2">
      <c r="A5090" s="5">
        <v>5029</v>
      </c>
      <c r="B5090" s="1832">
        <f>'Revenues 9-14'!C67</f>
        <v>24832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1075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13131</v>
      </c>
      <c r="C5096" s="2" t="s">
        <v>569</v>
      </c>
      <c r="D5096" s="2" t="str">
        <f t="shared" si="78"/>
        <v>Error?</v>
      </c>
    </row>
    <row r="5097" spans="1:4" x14ac:dyDescent="0.2">
      <c r="A5097" s="5">
        <v>5036</v>
      </c>
      <c r="B5097" s="1832">
        <f>'Revenues 9-14'!C77</f>
        <v>2713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8254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10967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61294</v>
      </c>
      <c r="C5120" s="2" t="s">
        <v>569</v>
      </c>
      <c r="D5120" s="2" t="str">
        <f t="shared" si="79"/>
        <v>Error?</v>
      </c>
    </row>
    <row r="5121" spans="1:4" x14ac:dyDescent="0.2">
      <c r="A5121" s="5">
        <v>5060</v>
      </c>
      <c r="B5121" s="1832">
        <f>'Revenues 9-14'!C109</f>
        <v>969951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72608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72608</v>
      </c>
      <c r="C5132" s="2" t="s">
        <v>569</v>
      </c>
      <c r="D5132" s="2" t="str">
        <f t="shared" si="79"/>
        <v>Error?</v>
      </c>
    </row>
    <row r="5133" spans="1:4" x14ac:dyDescent="0.2">
      <c r="A5133" s="5">
        <v>5072</v>
      </c>
      <c r="B5133" s="1832">
        <f>'Revenues 9-14'!C125</f>
        <v>19724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19724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117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19841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92449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7830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436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8266</v>
      </c>
      <c r="C5246" s="2" t="s">
        <v>569</v>
      </c>
      <c r="D5246" s="2" t="str">
        <f t="shared" si="80"/>
        <v>Error?</v>
      </c>
    </row>
    <row r="5247" spans="1:4" x14ac:dyDescent="0.2">
      <c r="A5247" s="5">
        <v>5186</v>
      </c>
      <c r="B5247" s="1832">
        <f>'Revenues 9-14'!C200</f>
        <v>27670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27670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409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23090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23499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91277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91277</v>
      </c>
      <c r="C5326" s="2" t="s">
        <v>569</v>
      </c>
      <c r="D5326" s="2" t="str">
        <f t="shared" si="82"/>
        <v>Error?</v>
      </c>
    </row>
    <row r="5327" spans="1:5" x14ac:dyDescent="0.2">
      <c r="A5327" s="5">
        <v>5266</v>
      </c>
      <c r="B5327" s="1832">
        <f>'Revenues 9-14'!C268</f>
        <v>1153677</v>
      </c>
      <c r="C5327" s="2" t="s">
        <v>569</v>
      </c>
      <c r="D5327" s="2" t="str">
        <f t="shared" si="82"/>
        <v>Error?</v>
      </c>
    </row>
    <row r="5328" spans="1:5" x14ac:dyDescent="0.2">
      <c r="A5328" s="5">
        <v>5267</v>
      </c>
      <c r="B5328" s="1832">
        <f>'Revenues 9-14'!D5</f>
        <v>133796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133796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22073</v>
      </c>
      <c r="C5355" s="2" t="s">
        <v>569</v>
      </c>
      <c r="D5355" s="2" t="str">
        <f t="shared" si="82"/>
        <v>Error?</v>
      </c>
    </row>
    <row r="5356" spans="1:4" x14ac:dyDescent="0.2">
      <c r="A5356" s="5">
        <v>5295</v>
      </c>
      <c r="B5356" s="1832">
        <f>'Revenues 9-14'!D109</f>
        <v>155869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95000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95000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250869</v>
      </c>
      <c r="C5508" s="2" t="s">
        <v>569</v>
      </c>
      <c r="D5508" s="2" t="str">
        <f t="shared" si="85"/>
        <v>Error?</v>
      </c>
    </row>
    <row r="5509" spans="1:4" x14ac:dyDescent="0.2">
      <c r="A5509" s="5">
        <v>5448</v>
      </c>
      <c r="B5509" s="1832">
        <f>'Revenues 9-14'!E5</f>
        <v>33456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33456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208</v>
      </c>
      <c r="D5519" s="2" t="str">
        <f t="shared" si="85"/>
        <v>Error?</v>
      </c>
    </row>
    <row r="5520" spans="1:4" x14ac:dyDescent="0.2">
      <c r="A5520" s="5">
        <v>5459</v>
      </c>
      <c r="B5520" s="1832">
        <f>'Revenues 9-14'!E66</f>
        <v>41</v>
      </c>
      <c r="D5520" s="2" t="str">
        <f t="shared" si="85"/>
        <v>Error?</v>
      </c>
    </row>
    <row r="5521" spans="1:4" x14ac:dyDescent="0.2">
      <c r="A5521" s="5">
        <v>5460</v>
      </c>
      <c r="B5521" s="1832">
        <f>'Revenues 9-14'!E67</f>
        <v>249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33705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33705</v>
      </c>
      <c r="C5552" s="2" t="s">
        <v>569</v>
      </c>
      <c r="D5552" s="2" t="str">
        <f t="shared" si="85"/>
        <v>Error?</v>
      </c>
    </row>
    <row r="5553" spans="1:4" x14ac:dyDescent="0.2">
      <c r="A5553" s="5">
        <v>5492</v>
      </c>
      <c r="B5553" s="1832">
        <f>'Revenues 9-14'!F5</f>
        <v>40142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40142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40142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48353</v>
      </c>
      <c r="D5615" s="2" t="str">
        <f t="shared" si="86"/>
        <v>Error?</v>
      </c>
    </row>
    <row r="5616" spans="1:4" x14ac:dyDescent="0.2">
      <c r="A5616" s="10">
        <v>5555</v>
      </c>
      <c r="B5616" s="1832"/>
      <c r="D5616" s="2" t="str">
        <f t="shared" si="86"/>
        <v>OK</v>
      </c>
    </row>
    <row r="5617" spans="1:5" x14ac:dyDescent="0.2">
      <c r="A5617" s="5">
        <v>5556</v>
      </c>
      <c r="B5617" s="1832">
        <f>'Revenues 9-14'!F153</f>
        <v>11746</v>
      </c>
      <c r="D5617" s="2" t="str">
        <f t="shared" si="86"/>
        <v>Error?</v>
      </c>
    </row>
    <row r="5618" spans="1:5" x14ac:dyDescent="0.2">
      <c r="A5618" s="5">
        <v>5557</v>
      </c>
      <c r="B5618" s="1832">
        <f>'Revenues 9-14'!F155</f>
        <v>60099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60099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60099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100241</v>
      </c>
      <c r="C5720" s="2" t="s">
        <v>569</v>
      </c>
      <c r="D5720" s="2" t="str">
        <f t="shared" si="88"/>
        <v>Error?</v>
      </c>
    </row>
    <row r="5721" spans="1:4" x14ac:dyDescent="0.2">
      <c r="A5721" s="5">
        <v>5660</v>
      </c>
      <c r="B5721" s="1832">
        <f>'Revenues 9-14'!G5</f>
        <v>17153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27742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44895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4863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4863</v>
      </c>
      <c r="C5730" s="2" t="s">
        <v>569</v>
      </c>
      <c r="D5730" s="2" t="str">
        <f t="shared" si="88"/>
        <v>Error?</v>
      </c>
    </row>
    <row r="5731" spans="1:4" x14ac:dyDescent="0.2">
      <c r="A5731" s="5">
        <v>5670</v>
      </c>
      <c r="B5731" s="1832">
        <f>'Revenues 9-14'!G65</f>
        <v>826</v>
      </c>
      <c r="D5731" s="2" t="str">
        <f t="shared" si="88"/>
        <v>Error?</v>
      </c>
    </row>
    <row r="5732" spans="1:4" x14ac:dyDescent="0.2">
      <c r="A5732" s="5">
        <v>5671</v>
      </c>
      <c r="B5732" s="1832">
        <f>'Revenues 9-14'!G66</f>
        <v>104</v>
      </c>
      <c r="D5732" s="2" t="str">
        <f t="shared" si="88"/>
        <v>Error?</v>
      </c>
    </row>
    <row r="5733" spans="1:4" x14ac:dyDescent="0.2">
      <c r="A5733" s="5">
        <v>5672</v>
      </c>
      <c r="B5733" s="1832">
        <f>'Revenues 9-14'!G67</f>
        <v>930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50688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16728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16728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16728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16728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16728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4816</v>
      </c>
      <c r="D5993" s="2" t="str">
        <f t="shared" si="92"/>
        <v>Error?</v>
      </c>
    </row>
    <row r="5994" spans="1:4" x14ac:dyDescent="0.2">
      <c r="A5994" s="5">
        <v>5933</v>
      </c>
      <c r="B5994" s="1832">
        <f>'Revenues 9-14'!K66</f>
        <v>878</v>
      </c>
      <c r="D5994" s="2" t="str">
        <f t="shared" si="92"/>
        <v>Error?</v>
      </c>
    </row>
    <row r="5995" spans="1:4" x14ac:dyDescent="0.2">
      <c r="A5995" s="5">
        <v>5934</v>
      </c>
      <c r="B5995" s="1832">
        <f>'Revenues 9-14'!K67</f>
        <v>5694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22422</v>
      </c>
      <c r="C6023" s="2" t="s">
        <v>569</v>
      </c>
      <c r="D6023" s="2" t="str">
        <f t="shared" si="93"/>
        <v>Error?</v>
      </c>
    </row>
    <row r="6024" spans="1:5" x14ac:dyDescent="0.2">
      <c r="A6024" s="5">
        <v>5963</v>
      </c>
      <c r="B6024" s="1832">
        <f>'Revenues 9-14'!G109</f>
        <v>50688</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16728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22422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12056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875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61621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61621</v>
      </c>
      <c r="D6215" s="2" t="str">
        <f t="shared" si="96"/>
        <v>Error?</v>
      </c>
      <c r="E6215" s="2" t="s">
        <v>189</v>
      </c>
    </row>
    <row r="6216" spans="1:5" x14ac:dyDescent="0.2">
      <c r="A6216">
        <v>6155</v>
      </c>
      <c r="B6216" s="1832">
        <f>'Assets-Liab 5-6'!J41</f>
        <v>61621</v>
      </c>
      <c r="D6216" s="2" t="str">
        <f t="shared" si="96"/>
        <v>Error?</v>
      </c>
      <c r="E6216" s="2" t="s">
        <v>189</v>
      </c>
    </row>
    <row r="6217" spans="1:5" x14ac:dyDescent="0.2">
      <c r="A6217">
        <v>6156</v>
      </c>
      <c r="B6217" s="1832">
        <f>'Assets-Liab 5-6'!J4</f>
        <v>5934</v>
      </c>
      <c r="D6217" s="2" t="str">
        <f t="shared" si="96"/>
        <v>Error?</v>
      </c>
      <c r="E6217" s="2" t="s">
        <v>189</v>
      </c>
    </row>
    <row r="6218" spans="1:5" x14ac:dyDescent="0.2">
      <c r="A6218">
        <v>6157</v>
      </c>
      <c r="B6218" s="1832">
        <f>'Assets-Liab 5-6'!J5</f>
        <v>55687</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69150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69150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69150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54127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54127</v>
      </c>
      <c r="D6229" s="2" t="str">
        <f t="shared" si="96"/>
        <v>Error?</v>
      </c>
      <c r="E6229" s="2" t="s">
        <v>189</v>
      </c>
    </row>
    <row r="6230" spans="1:5" x14ac:dyDescent="0.2">
      <c r="A6230">
        <v>6169</v>
      </c>
      <c r="B6230" s="1832">
        <f>'Acct Summary 7-8'!J20</f>
        <v>15023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15023</v>
      </c>
      <c r="D6263" s="2" t="str">
        <f t="shared" si="96"/>
        <v>Error?</v>
      </c>
      <c r="E6263" s="2" t="s">
        <v>189</v>
      </c>
    </row>
    <row r="6264" spans="1:5" x14ac:dyDescent="0.2">
      <c r="A6264">
        <v>6203</v>
      </c>
      <c r="B6264" s="1832">
        <f>'Acct Summary 7-8'!J79</f>
        <v>46598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61621</v>
      </c>
      <c r="D6266" s="2" t="str">
        <f t="shared" si="96"/>
        <v>Error?</v>
      </c>
      <c r="E6266" s="2" t="s">
        <v>189</v>
      </c>
    </row>
    <row r="6267" spans="1:5" x14ac:dyDescent="0.2">
      <c r="A6267">
        <v>6206</v>
      </c>
      <c r="B6267" s="1832">
        <f>'Acct Summary 7-8'!C82</f>
        <v>68772</v>
      </c>
      <c r="D6267" s="2" t="str">
        <f t="shared" si="96"/>
        <v>Error?</v>
      </c>
      <c r="E6267" s="2" t="s">
        <v>189</v>
      </c>
    </row>
    <row r="6268" spans="1:5" x14ac:dyDescent="0.2">
      <c r="A6268">
        <v>6207</v>
      </c>
      <c r="B6268" s="1832">
        <f>'Acct Summary 7-8'!D82</f>
        <v>123743</v>
      </c>
      <c r="D6268" s="2" t="str">
        <f t="shared" si="96"/>
        <v>Error?</v>
      </c>
      <c r="E6268" s="2" t="s">
        <v>189</v>
      </c>
    </row>
    <row r="6269" spans="1:5" x14ac:dyDescent="0.2">
      <c r="A6269">
        <v>6208</v>
      </c>
      <c r="B6269" s="1832">
        <f>'Acct Summary 7-8'!E82</f>
        <v>39</v>
      </c>
      <c r="D6269" s="2" t="str">
        <f t="shared" si="96"/>
        <v>Error?</v>
      </c>
      <c r="E6269" s="2" t="s">
        <v>189</v>
      </c>
    </row>
    <row r="6270" spans="1:5" x14ac:dyDescent="0.2">
      <c r="A6270">
        <v>6209</v>
      </c>
      <c r="B6270" s="1832">
        <f>'Acct Summary 7-8'!F82</f>
        <v>14171</v>
      </c>
      <c r="D6270" s="2" t="str">
        <f t="shared" si="96"/>
        <v>Error?</v>
      </c>
      <c r="E6270" s="2" t="s">
        <v>189</v>
      </c>
    </row>
    <row r="6271" spans="1:5" x14ac:dyDescent="0.2">
      <c r="A6271">
        <v>6210</v>
      </c>
      <c r="B6271" s="1832">
        <f>'Acct Summary 7-8'!G82</f>
        <v>3763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-140139</v>
      </c>
      <c r="D6273" s="2" t="str">
        <f t="shared" si="97"/>
        <v>Error?</v>
      </c>
      <c r="E6273" s="2" t="s">
        <v>189</v>
      </c>
    </row>
    <row r="6274" spans="1:5" x14ac:dyDescent="0.2">
      <c r="A6274">
        <v>6213</v>
      </c>
      <c r="B6274" s="1832">
        <f>'Acct Summary 7-8'!J82</f>
        <v>15023</v>
      </c>
      <c r="D6274" s="2" t="str">
        <f t="shared" si="97"/>
        <v>Error?</v>
      </c>
      <c r="E6274" s="2" t="s">
        <v>189</v>
      </c>
    </row>
    <row r="6275" spans="1:5" x14ac:dyDescent="0.2">
      <c r="A6275">
        <v>6214</v>
      </c>
      <c r="B6275" s="1832">
        <f>'Acct Summary 7-8'!K82</f>
        <v>-332673</v>
      </c>
      <c r="D6275" s="2" t="str">
        <f t="shared" si="97"/>
        <v>Error?</v>
      </c>
      <c r="E6275" s="2" t="s">
        <v>189</v>
      </c>
    </row>
    <row r="6276" spans="1:5" x14ac:dyDescent="0.2">
      <c r="A6276">
        <v>6215</v>
      </c>
      <c r="B6276" s="1832">
        <f>'Acct Summary 7-8'!C83</f>
        <v>0.20288820379685218</v>
      </c>
      <c r="D6276" s="2" t="str">
        <f t="shared" si="97"/>
        <v>Error?</v>
      </c>
      <c r="E6276" s="2" t="s">
        <v>189</v>
      </c>
    </row>
    <row r="6277" spans="1:5" x14ac:dyDescent="0.2">
      <c r="A6277">
        <v>6216</v>
      </c>
      <c r="B6277" s="1832">
        <f>'Acct Summary 7-8'!D83</f>
        <v>0.39142702596691897</v>
      </c>
      <c r="D6277" s="2" t="str">
        <f t="shared" si="97"/>
        <v>Error?</v>
      </c>
      <c r="E6277" s="2" t="s">
        <v>189</v>
      </c>
    </row>
    <row r="6278" spans="1:5" x14ac:dyDescent="0.2">
      <c r="A6278">
        <v>6217</v>
      </c>
      <c r="B6278" s="1832">
        <f>'Acct Summary 7-8'!E83</f>
        <v>1.3737231419513914E-2</v>
      </c>
      <c r="D6278" s="2" t="str">
        <f t="shared" si="97"/>
        <v>Error?</v>
      </c>
      <c r="E6278" s="2" t="s">
        <v>189</v>
      </c>
    </row>
    <row r="6279" spans="1:5" x14ac:dyDescent="0.2">
      <c r="A6279">
        <v>6218</v>
      </c>
      <c r="B6279" s="1832">
        <f>'Acct Summary 7-8'!F83</f>
        <v>0.4916900870892752</v>
      </c>
      <c r="D6279" s="2" t="str">
        <f t="shared" si="97"/>
        <v>Error?</v>
      </c>
      <c r="E6279" s="2" t="s">
        <v>189</v>
      </c>
    </row>
    <row r="6280" spans="1:5" x14ac:dyDescent="0.2">
      <c r="A6280">
        <v>6219</v>
      </c>
      <c r="B6280" s="1832">
        <f>'Acct Summary 7-8'!G83</f>
        <v>0.1325700193764312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-0.84541785561313443</v>
      </c>
      <c r="D6282" s="2" t="str">
        <f t="shared" si="97"/>
        <v>Error?</v>
      </c>
      <c r="E6282" s="2" t="s">
        <v>189</v>
      </c>
    </row>
    <row r="6283" spans="1:5" x14ac:dyDescent="0.2">
      <c r="A6283">
        <v>6222</v>
      </c>
      <c r="B6283" s="1832">
        <f>'Acct Summary 7-8'!J83</f>
        <v>0.24379675759887051</v>
      </c>
      <c r="D6283" s="2" t="str">
        <f t="shared" si="97"/>
        <v>Error?</v>
      </c>
      <c r="E6283" s="2" t="s">
        <v>189</v>
      </c>
    </row>
    <row r="6284" spans="1:5" x14ac:dyDescent="0.2">
      <c r="A6284">
        <v>6223</v>
      </c>
      <c r="B6284" s="1832">
        <f>'Acct Summary 7-8'!K83</f>
        <v>-85.104374520337686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67586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67586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1395</v>
      </c>
      <c r="D6316" s="2" t="str">
        <f t="shared" si="97"/>
        <v>Error?</v>
      </c>
      <c r="E6316" s="2" t="s">
        <v>189</v>
      </c>
    </row>
    <row r="6317" spans="1:5" x14ac:dyDescent="0.2">
      <c r="A6317">
        <v>6256</v>
      </c>
      <c r="B6317" s="1832">
        <f>'Revenues 9-14'!J66</f>
        <v>169</v>
      </c>
      <c r="D6317" s="2" t="str">
        <f t="shared" si="97"/>
        <v>Error?</v>
      </c>
      <c r="E6317" s="2" t="s">
        <v>189</v>
      </c>
    </row>
    <row r="6318" spans="1:5" x14ac:dyDescent="0.2">
      <c r="A6318">
        <v>6257</v>
      </c>
      <c r="B6318" s="1832">
        <f>'Revenues 9-14'!J67</f>
        <v>1564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22073</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61187</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69150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55240</v>
      </c>
      <c r="D6880" s="2" t="str">
        <f t="shared" si="106"/>
        <v>Error?</v>
      </c>
    </row>
    <row r="6881" spans="1:4" x14ac:dyDescent="0.2">
      <c r="A6881">
        <v>6820</v>
      </c>
      <c r="B6881" s="1832">
        <f>'Expenditures 15-22'!K22</f>
        <v>55240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54127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69150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562</v>
      </c>
      <c r="D7067" s="2" t="str">
        <f t="shared" si="109"/>
        <v>Error?</v>
      </c>
    </row>
    <row r="7068" spans="1:4" x14ac:dyDescent="0.2">
      <c r="A7068">
        <v>7007</v>
      </c>
      <c r="B7068" s="1832">
        <f>'Expenditures 15-22'!K205</f>
        <v>562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2622</v>
      </c>
      <c r="D7093" s="2" t="str">
        <f t="shared" si="109"/>
        <v>Error?</v>
      </c>
    </row>
    <row r="7094" spans="1:4" x14ac:dyDescent="0.2">
      <c r="A7094">
        <v>7033</v>
      </c>
      <c r="B7094" s="1832">
        <f>'Expenditures 15-22'!K254</f>
        <v>2622</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9202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9202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1758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1758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23495</v>
      </c>
      <c r="D7172" s="2" t="str">
        <f t="shared" si="111"/>
        <v>Error?</v>
      </c>
    </row>
    <row r="7173" spans="1:4" x14ac:dyDescent="0.2">
      <c r="A7173">
        <v>7112</v>
      </c>
      <c r="B7173" s="1832">
        <f>'Expenditures 15-22'!D325</f>
        <v>3802</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27297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2775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2775</v>
      </c>
      <c r="D7198" s="2" t="str">
        <f t="shared" si="111"/>
        <v>Error?</v>
      </c>
    </row>
    <row r="7199" spans="1:4" x14ac:dyDescent="0.2">
      <c r="A7199">
        <v>7138</v>
      </c>
      <c r="B7199" s="1832">
        <f>'Expenditures 15-22'!C330</f>
        <v>23495</v>
      </c>
      <c r="D7199" s="2" t="str">
        <f t="shared" si="111"/>
        <v>Error?</v>
      </c>
    </row>
    <row r="7200" spans="1:4" x14ac:dyDescent="0.2">
      <c r="A7200">
        <v>7139</v>
      </c>
      <c r="B7200" s="1832">
        <f>'Expenditures 15-22'!D330</f>
        <v>3802</v>
      </c>
      <c r="D7200" s="2" t="str">
        <f t="shared" si="111"/>
        <v>Error?</v>
      </c>
    </row>
    <row r="7201" spans="1:4" x14ac:dyDescent="0.2">
      <c r="A7201">
        <v>7140</v>
      </c>
      <c r="B7201" s="1832">
        <f>'Expenditures 15-22'!E330</f>
        <v>26830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54127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23495</v>
      </c>
      <c r="D7216" s="2" t="str">
        <f t="shared" si="111"/>
        <v>Error?</v>
      </c>
    </row>
    <row r="7217" spans="1:4" x14ac:dyDescent="0.2">
      <c r="A7217">
        <v>7156</v>
      </c>
      <c r="B7217" s="1832">
        <f>'Expenditures 15-22'!D342</f>
        <v>3802</v>
      </c>
      <c r="D7217" s="2" t="str">
        <f t="shared" si="111"/>
        <v>Error?</v>
      </c>
    </row>
    <row r="7218" spans="1:4" x14ac:dyDescent="0.2">
      <c r="A7218">
        <v>7157</v>
      </c>
      <c r="B7218" s="1832">
        <f>'Expenditures 15-22'!E342</f>
        <v>26830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54127</v>
      </c>
      <c r="D7224" s="2" t="str">
        <f t="shared" si="111"/>
        <v>Error?</v>
      </c>
    </row>
    <row r="7225" spans="1:4" x14ac:dyDescent="0.2">
      <c r="A7225">
        <v>7164</v>
      </c>
      <c r="B7225" s="1832">
        <f>'Expenditures 15-22'!K343</f>
        <v>15023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68755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13095</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13095</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6692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156867</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376080</v>
      </c>
      <c r="D7817" s="2" t="str">
        <f t="shared" si="128"/>
        <v>Error?</v>
      </c>
      <c r="E7817" s="4" t="s">
        <v>1966</v>
      </c>
    </row>
    <row r="7818" spans="1:5" x14ac:dyDescent="0.2">
      <c r="A7818">
        <v>7757</v>
      </c>
      <c r="B7818" s="1832">
        <f>'PCTC-OEPP 27-28'!F172</f>
        <v>26963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1435319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4878</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180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141845</v>
      </c>
      <c r="D7834" s="2" t="str">
        <f t="shared" si="129"/>
        <v>Error?</v>
      </c>
      <c r="E7834" s="4" t="s">
        <v>1998</v>
      </c>
    </row>
    <row r="7835" spans="1:5" x14ac:dyDescent="0.2">
      <c r="A7835">
        <v>7774</v>
      </c>
      <c r="B7835" s="1832">
        <f>'PCTC-OEPP 27-28'!F78</f>
        <v>1293474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19747.694656488551</v>
      </c>
      <c r="D7837" s="2" t="str">
        <f t="shared" si="129"/>
        <v>Error?</v>
      </c>
      <c r="E7837" s="4" t="s">
        <v>1998</v>
      </c>
    </row>
    <row r="7838" spans="1:5" x14ac:dyDescent="0.2">
      <c r="A7838">
        <v>7777</v>
      </c>
      <c r="B7838" s="1832">
        <f>'PCTC-OEPP 27-28'!F96</f>
        <v>10967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19724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60099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45000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8266</v>
      </c>
      <c r="D7858" s="2" t="str">
        <f t="shared" si="129"/>
        <v>Error?</v>
      </c>
      <c r="E7858" s="4" t="s">
        <v>1998</v>
      </c>
    </row>
    <row r="7859" spans="1:5" x14ac:dyDescent="0.2">
      <c r="A7859">
        <v>7798</v>
      </c>
      <c r="B7859" s="1832">
        <f>'PCTC-OEPP 27-28'!F127</f>
        <v>27670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23090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4886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1955</v>
      </c>
      <c r="D7874" s="2" t="str">
        <f t="shared" si="129"/>
        <v>Error?</v>
      </c>
      <c r="E7874" s="4" t="s">
        <v>1998</v>
      </c>
    </row>
    <row r="7875" spans="1:5" x14ac:dyDescent="0.2">
      <c r="A7875">
        <v>7814</v>
      </c>
      <c r="B7875" s="1832">
        <f>'PCTC-OEPP 27-28'!F170</f>
        <v>2010</v>
      </c>
      <c r="D7875" s="2" t="str">
        <f t="shared" si="129"/>
        <v>Error?</v>
      </c>
      <c r="E7875" s="4" t="s">
        <v>1998</v>
      </c>
    </row>
    <row r="7876" spans="1:5" x14ac:dyDescent="0.2">
      <c r="A7876">
        <v>7815</v>
      </c>
      <c r="B7876" s="1832">
        <f>'PCTC-OEPP 27-28'!F171</f>
        <v>22991</v>
      </c>
      <c r="D7876" s="2" t="str">
        <f t="shared" si="129"/>
        <v>Error?</v>
      </c>
      <c r="E7876" s="4" t="s">
        <v>1998</v>
      </c>
    </row>
    <row r="7877" spans="1:5" x14ac:dyDescent="0.2">
      <c r="A7877">
        <v>7816</v>
      </c>
      <c r="B7877" s="1832">
        <f>'PCTC-OEPP 27-28'!F175</f>
        <v>316869</v>
      </c>
      <c r="D7877" s="2" t="str">
        <f t="shared" si="129"/>
        <v>Error?</v>
      </c>
      <c r="E7877" s="4" t="s">
        <v>1998</v>
      </c>
    </row>
    <row r="7878" spans="1:5" x14ac:dyDescent="0.2">
      <c r="A7878">
        <v>7817</v>
      </c>
      <c r="B7878" s="1832">
        <f>'PCTC-OEPP 27-28'!F176</f>
        <v>976605</v>
      </c>
      <c r="D7878" s="2" t="str">
        <f t="shared" si="129"/>
        <v>Error?</v>
      </c>
      <c r="E7878" s="4" t="s">
        <v>1998</v>
      </c>
    </row>
    <row r="7879" spans="1:5" x14ac:dyDescent="0.2">
      <c r="A7879">
        <v>7818</v>
      </c>
      <c r="B7879" s="1832">
        <f>'PCTC-OEPP 27-28'!F178</f>
        <v>1045360</v>
      </c>
      <c r="D7879" s="2" t="str">
        <f t="shared" si="129"/>
        <v>Error?</v>
      </c>
      <c r="E7879" s="4" t="s">
        <v>1998</v>
      </c>
    </row>
    <row r="7880" spans="1:5" x14ac:dyDescent="0.2">
      <c r="A7880">
        <v>7819</v>
      </c>
      <c r="B7880" s="1832">
        <f>'PCTC-OEPP 27-28'!F180</f>
        <v>15959.694656488549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Rutland CCSD 230</v>
      </c>
      <c r="B7" s="2536"/>
      <c r="C7" s="2536"/>
      <c r="D7" s="2537"/>
      <c r="E7" s="2538">
        <f>COVER!A13</f>
        <v>35050230004</v>
      </c>
      <c r="F7" s="2539"/>
      <c r="G7" s="2545" t="str">
        <f>COVER!T23</f>
        <v>066-004501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MIKE MATTESON</v>
      </c>
      <c r="B10" s="2525"/>
      <c r="C10" s="2525"/>
      <c r="D10" s="2525"/>
      <c r="E10" s="2525"/>
      <c r="F10" s="2526"/>
      <c r="G10" s="2518" t="str">
        <f>COVER!T17</f>
        <v>314 S MCCOY STREET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kim@hopkinsoffice.com</v>
      </c>
      <c r="J13" s="2531"/>
      <c r="K13" s="2531"/>
      <c r="L13" s="2532"/>
    </row>
    <row r="14" spans="1:29" ht="13.5" customHeight="1" x14ac:dyDescent="0.2">
      <c r="A14" s="2518" t="str">
        <f>COVER!A19</f>
        <v>3221 N IL ROUTE 71</v>
      </c>
      <c r="B14" s="2519"/>
      <c r="C14" s="2519"/>
      <c r="D14" s="2519"/>
      <c r="E14" s="2519"/>
      <c r="F14" s="2520"/>
      <c r="G14" s="974" t="s">
        <v>1175</v>
      </c>
      <c r="H14" s="972"/>
      <c r="I14" s="972"/>
      <c r="J14" s="972"/>
      <c r="K14" s="972"/>
      <c r="L14" s="973"/>
    </row>
    <row r="15" spans="1:29" ht="13.5" customHeight="1" x14ac:dyDescent="0.2">
      <c r="A15" s="2518" t="str">
        <f>COVER!A21</f>
        <v>OTTAWA</v>
      </c>
      <c r="B15" s="2519"/>
      <c r="C15" s="2519"/>
      <c r="D15" s="2519"/>
      <c r="E15" s="2519"/>
      <c r="F15" s="2520"/>
      <c r="G15" s="2515" t="str">
        <f>COVER!T15</f>
        <v>KIM BIRD</v>
      </c>
      <c r="H15" s="2516"/>
      <c r="I15" s="2516"/>
      <c r="J15" s="2516"/>
      <c r="K15" s="2516"/>
      <c r="L15" s="2517"/>
    </row>
    <row r="16" spans="1:29" ht="12.2" customHeight="1" x14ac:dyDescent="0.2">
      <c r="A16" s="2541">
        <f>COVER!A25</f>
        <v>61350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Rutland CCSD 230</v>
      </c>
      <c r="B1" s="2558"/>
      <c r="C1" s="2558"/>
      <c r="D1" s="2558"/>
    </row>
    <row r="2" spans="1:11" s="991" customFormat="1" ht="12.75" x14ac:dyDescent="0.2">
      <c r="A2" s="2559">
        <f>'Single Audit Cover'!E7</f>
        <v>35050230004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Rutland CCSD 230</v>
      </c>
      <c r="B1" s="2562"/>
      <c r="C1" s="2562"/>
      <c r="D1" s="2562"/>
      <c r="E1" s="2562"/>
    </row>
    <row r="2" spans="1:5" x14ac:dyDescent="0.2">
      <c r="A2" s="2563">
        <f>'Single Audit Cover'!E7</f>
        <v>35050230004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91277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875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-2010</v>
      </c>
    </row>
    <row r="19" spans="1:4" ht="13.5" thickBot="1" x14ac:dyDescent="0.25">
      <c r="A19" s="1041" t="s">
        <v>1224</v>
      </c>
      <c r="D19" s="1042">
        <f>SUM(D10:D17)</f>
        <v>90142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90142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90142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Rutland CCSD 230</v>
      </c>
      <c r="C1" s="2566"/>
      <c r="D1" s="2566"/>
      <c r="E1" s="2566"/>
      <c r="F1" s="2566"/>
      <c r="G1" s="2566"/>
      <c r="H1" s="2566"/>
      <c r="I1" s="2566"/>
      <c r="J1" s="2566"/>
      <c r="K1" s="2566"/>
      <c r="L1" s="2566"/>
      <c r="M1" s="2566"/>
    </row>
    <row r="2" spans="2:14" ht="15" x14ac:dyDescent="0.2">
      <c r="B2" s="2567">
        <f>'Single Audit Cover'!E7</f>
        <v>35050230004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Rutland CCSD 230</v>
      </c>
      <c r="B1" s="2579"/>
      <c r="C1" s="2579"/>
      <c r="D1" s="2579"/>
      <c r="E1" s="2579"/>
      <c r="F1" s="2579"/>
    </row>
    <row r="2" spans="1:7" ht="13.5" customHeight="1" x14ac:dyDescent="0.2">
      <c r="A2" s="2567">
        <f>'Single Audit Cover'!E7</f>
        <v>35050230004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6" colorId="8" zoomScaleNormal="100" workbookViewId="0">
      <selection activeCell="J85" sqref="J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Rutland CCSD 230</v>
      </c>
      <c r="C1" s="2594"/>
      <c r="D1" s="2594"/>
      <c r="E1" s="2594"/>
      <c r="F1" s="2594"/>
      <c r="G1" s="2594"/>
      <c r="H1" s="2594"/>
      <c r="I1" s="2594"/>
      <c r="J1" s="1178"/>
    </row>
    <row r="2" spans="2:10" s="295" customFormat="1" ht="12.75" customHeight="1" x14ac:dyDescent="0.2">
      <c r="B2" s="2595">
        <f>'Single Audit Cover'!E7</f>
        <v>35050230004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Rutland CCSD 230</v>
      </c>
      <c r="C1" s="2593"/>
      <c r="D1" s="2593"/>
      <c r="E1" s="2593"/>
      <c r="F1" s="2593"/>
      <c r="G1" s="2593"/>
      <c r="H1" s="2593"/>
      <c r="I1" s="2593"/>
      <c r="J1" s="2593"/>
      <c r="K1" s="2593"/>
      <c r="L1" s="1144"/>
      <c r="M1" s="1144"/>
    </row>
    <row r="2" spans="1:13" ht="12" customHeight="1" x14ac:dyDescent="0.2">
      <c r="B2" s="2595">
        <f>'Single Audit Cover'!E7</f>
        <v>35050230004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Rutland CCSD 230</v>
      </c>
      <c r="C1" s="2616"/>
      <c r="D1" s="2616"/>
      <c r="E1" s="2616"/>
      <c r="F1" s="2616"/>
      <c r="G1" s="2616"/>
      <c r="H1" s="2616"/>
      <c r="I1" s="2616"/>
      <c r="J1" s="2616"/>
      <c r="K1" s="2616"/>
      <c r="L1" s="1221"/>
    </row>
    <row r="2" spans="1:12" ht="12.75" customHeight="1" x14ac:dyDescent="0.2">
      <c r="B2" s="2617">
        <f>'Single Audit Cover'!E7</f>
        <v>35050230004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Rutland CCSD 230</v>
      </c>
      <c r="C1" s="2593"/>
      <c r="D1" s="2593"/>
      <c r="E1" s="1240"/>
    </row>
    <row r="2" spans="2:5" s="1058" customFormat="1" ht="12.75" customHeight="1" x14ac:dyDescent="0.2">
      <c r="B2" s="2595">
        <f>'Single Audit Cover'!E7</f>
        <v>35050230004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35951286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1.77E-2</v>
      </c>
      <c r="E10" s="333" t="s">
        <v>998</v>
      </c>
      <c r="F10" s="332">
        <v>4.0000000000000001E-3</v>
      </c>
      <c r="G10" s="333" t="s">
        <v>998</v>
      </c>
      <c r="H10" s="332">
        <v>1.1999999999999999E-3</v>
      </c>
      <c r="I10" s="333" t="s">
        <v>999</v>
      </c>
      <c r="J10" s="1424">
        <f>ROUND(D10+F10+H10,5)</f>
        <v>2.29E-2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1521515</v>
      </c>
      <c r="E16" s="1547"/>
      <c r="F16" s="1546">
        <f>SUM('Acct Summary 7-8'!C17,'Acct Summary 7-8'!D17,'Acct Summary 7-8'!F17)</f>
        <v>1300601</v>
      </c>
      <c r="G16" s="1547"/>
      <c r="H16" s="1546">
        <f>SUM(D16-F16)</f>
        <v>220914</v>
      </c>
      <c r="I16" s="1548"/>
      <c r="J16" s="1546">
        <f>SUM('Acct Summary 7-8'!C81,'Acct Summary 7-8'!D81,'Acct Summary 7-8'!F81,'Acct Summary 7-8'!I81)</f>
        <v>849682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2480638.7340000002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315975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Rutland CCSD 230</v>
      </c>
      <c r="E7" s="368"/>
      <c r="G7" s="247"/>
      <c r="H7" s="364"/>
      <c r="I7" s="364"/>
      <c r="J7" s="364"/>
      <c r="K7" s="364"/>
      <c r="L7" s="307"/>
      <c r="M7" s="307"/>
      <c r="N7" s="307"/>
      <c r="O7" s="307"/>
      <c r="P7" s="307"/>
    </row>
    <row r="8" spans="1:18" ht="12.75" x14ac:dyDescent="0.2">
      <c r="A8" s="307"/>
      <c r="B8" s="307"/>
      <c r="C8" s="366" t="s">
        <v>1115</v>
      </c>
      <c r="D8" s="369">
        <f>COVER!A13</f>
        <v>35050230004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849682</v>
      </c>
      <c r="I12" s="380"/>
      <c r="J12" s="380"/>
      <c r="K12" s="1559">
        <f>TRUNC((H12/H13*100000),5)/100000</f>
        <v>0.55844470800000001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1521515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1300601</v>
      </c>
      <c r="I17" s="380"/>
      <c r="J17" s="389"/>
      <c r="K17" s="1559">
        <f>TRUNC((H17/H18*100000),5)/100000</f>
        <v>0.85480655790000004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1521515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849682</v>
      </c>
      <c r="I24" s="394"/>
      <c r="J24" s="394"/>
      <c r="K24" s="1555">
        <f>TRUNC(((H24/H25*100000)/100000),2)</f>
        <v>235.18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3612.7805600000002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699791.78199000005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315975</v>
      </c>
      <c r="I32" s="392"/>
      <c r="J32" s="392"/>
      <c r="K32" s="1555">
        <f>TRUNC(100-((((H32/H33*100))*100)/100),2)</f>
        <v>87.26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2480638.7340000002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85775+2500</f>
        <v>88275</v>
      </c>
      <c r="D4" s="1573">
        <f>63909</f>
        <v>63909</v>
      </c>
      <c r="E4" s="1573">
        <f>284</f>
        <v>284</v>
      </c>
      <c r="F4" s="1573">
        <f>22324</f>
        <v>22324</v>
      </c>
      <c r="G4" s="1573">
        <f>5446</f>
        <v>5446</v>
      </c>
      <c r="H4" s="1573"/>
      <c r="I4" s="1573">
        <v>1041</v>
      </c>
      <c r="J4" s="1574">
        <v>5934</v>
      </c>
      <c r="K4" s="1573">
        <v>2885</v>
      </c>
      <c r="L4" s="1573">
        <v>84</v>
      </c>
      <c r="M4" s="1575"/>
      <c r="N4" s="1576"/>
    </row>
    <row r="5" spans="1:14" x14ac:dyDescent="0.2">
      <c r="A5" s="427" t="s">
        <v>985</v>
      </c>
      <c r="B5" s="429">
        <v>120</v>
      </c>
      <c r="C5" s="1572">
        <v>250690</v>
      </c>
      <c r="D5" s="1573">
        <v>252224</v>
      </c>
      <c r="E5" s="1573">
        <v>2555</v>
      </c>
      <c r="F5" s="1573">
        <v>6497</v>
      </c>
      <c r="G5" s="1573">
        <v>22939</v>
      </c>
      <c r="H5" s="1573"/>
      <c r="I5" s="1573">
        <v>164722</v>
      </c>
      <c r="J5" s="1574">
        <v>55687</v>
      </c>
      <c r="K5" s="1577">
        <v>1024</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338965</v>
      </c>
      <c r="D13" s="1587">
        <f t="shared" ref="D13:L13" si="0">SUM(D4:D12)</f>
        <v>316133</v>
      </c>
      <c r="E13" s="1587">
        <f t="shared" si="0"/>
        <v>2839</v>
      </c>
      <c r="F13" s="1587">
        <f t="shared" si="0"/>
        <v>28821</v>
      </c>
      <c r="G13" s="1587">
        <f t="shared" si="0"/>
        <v>28385</v>
      </c>
      <c r="H13" s="1587">
        <f t="shared" si="0"/>
        <v>0</v>
      </c>
      <c r="I13" s="1587">
        <f t="shared" si="0"/>
        <v>165763</v>
      </c>
      <c r="J13" s="1587">
        <f t="shared" si="0"/>
        <v>61621</v>
      </c>
      <c r="K13" s="1587">
        <f t="shared" si="0"/>
        <v>3909</v>
      </c>
      <c r="L13" s="1587">
        <f t="shared" si="0"/>
        <v>84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1595736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14429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252527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2839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313136</v>
      </c>
    </row>
    <row r="23" spans="1:14" ht="13.5" customHeight="1" thickBot="1" x14ac:dyDescent="0.25">
      <c r="A23" s="1426" t="s">
        <v>638</v>
      </c>
      <c r="B23" s="1429"/>
      <c r="C23" s="1575"/>
      <c r="D23" s="1575"/>
      <c r="E23" s="1575"/>
      <c r="F23" s="1575"/>
      <c r="G23" s="1575"/>
      <c r="H23" s="1575"/>
      <c r="I23" s="1575"/>
      <c r="J23" s="1575"/>
      <c r="K23" s="1575"/>
      <c r="L23" s="1575"/>
      <c r="M23" s="1594">
        <f>SUM(M15:M22)</f>
        <v>1867692</v>
      </c>
      <c r="N23" s="1594">
        <f>SUM(N21:N22)</f>
        <v>315975</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315975</v>
      </c>
    </row>
    <row r="37" spans="1:14" ht="13.5" thickBot="1" x14ac:dyDescent="0.25">
      <c r="A37" s="1426" t="s">
        <v>648</v>
      </c>
      <c r="B37" s="1429"/>
      <c r="C37" s="1582"/>
      <c r="D37" s="1582"/>
      <c r="E37" s="1582"/>
      <c r="F37" s="1582"/>
      <c r="G37" s="1582"/>
      <c r="H37" s="1582"/>
      <c r="I37" s="1582"/>
      <c r="J37" s="1582"/>
      <c r="K37" s="1582"/>
      <c r="L37" s="1585"/>
      <c r="M37" s="1575"/>
      <c r="N37" s="1594">
        <f>SUM(N36:N36)</f>
        <v>315975</v>
      </c>
    </row>
    <row r="38" spans="1:14" s="307" customFormat="1" ht="13.5" customHeight="1" thickTop="1" x14ac:dyDescent="0.2">
      <c r="A38" s="438" t="s">
        <v>417</v>
      </c>
      <c r="B38" s="432">
        <v>714</v>
      </c>
      <c r="C38" s="1573">
        <v>46926</v>
      </c>
      <c r="D38" s="1573"/>
      <c r="E38" s="1573"/>
      <c r="F38" s="1573"/>
      <c r="G38" s="1573">
        <v>28385</v>
      </c>
      <c r="H38" s="1573"/>
      <c r="I38" s="1573"/>
      <c r="J38" s="1574"/>
      <c r="K38" s="1573"/>
      <c r="L38" s="1586"/>
      <c r="M38" s="1604"/>
      <c r="N38" s="1604"/>
    </row>
    <row r="39" spans="1:14" s="307" customFormat="1" ht="13.5" customHeight="1" x14ac:dyDescent="0.2">
      <c r="A39" s="438" t="s">
        <v>339</v>
      </c>
      <c r="B39" s="432">
        <v>730</v>
      </c>
      <c r="C39" s="1573">
        <f>338965-46926</f>
        <v>292039</v>
      </c>
      <c r="D39" s="1573">
        <v>316133</v>
      </c>
      <c r="E39" s="1573">
        <v>2839</v>
      </c>
      <c r="F39" s="1573">
        <v>28821</v>
      </c>
      <c r="G39" s="1573"/>
      <c r="H39" s="1573"/>
      <c r="I39" s="1573">
        <v>165763</v>
      </c>
      <c r="J39" s="1574">
        <v>61621</v>
      </c>
      <c r="K39" s="1573">
        <v>3909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1867692</v>
      </c>
      <c r="N40" s="1604"/>
    </row>
    <row r="41" spans="1:14" ht="13.5" customHeight="1" thickBot="1" x14ac:dyDescent="0.25">
      <c r="A41" s="1426" t="s">
        <v>650</v>
      </c>
      <c r="B41" s="1405"/>
      <c r="C41" s="1594">
        <f>(SUM(C34,C37,C38,C39))</f>
        <v>338965</v>
      </c>
      <c r="D41" s="1594">
        <f t="shared" ref="D41:L41" si="2">SUM(D34,D37,D38:D39)</f>
        <v>316133</v>
      </c>
      <c r="E41" s="1594">
        <f t="shared" si="2"/>
        <v>2839</v>
      </c>
      <c r="F41" s="1594">
        <f t="shared" si="2"/>
        <v>28821</v>
      </c>
      <c r="G41" s="1594">
        <f t="shared" si="2"/>
        <v>28385</v>
      </c>
      <c r="H41" s="1594">
        <f t="shared" si="2"/>
        <v>0</v>
      </c>
      <c r="I41" s="1594">
        <f t="shared" si="2"/>
        <v>165763</v>
      </c>
      <c r="J41" s="1594">
        <f t="shared" si="2"/>
        <v>61621</v>
      </c>
      <c r="K41" s="1594">
        <f t="shared" si="2"/>
        <v>3909</v>
      </c>
      <c r="L41" s="1594">
        <f t="shared" si="2"/>
        <v>84</v>
      </c>
      <c r="M41" s="1594">
        <f>SUM(M40)</f>
        <v>1867692</v>
      </c>
      <c r="N41" s="1594">
        <f>SUM(N37)</f>
        <v>315975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78" sqref="C78:K7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969951</v>
      </c>
      <c r="D4" s="1606">
        <f>'Revenues 9-14'!D109</f>
        <v>155869</v>
      </c>
      <c r="E4" s="1606">
        <f>'Revenues 9-14'!E109</f>
        <v>33705</v>
      </c>
      <c r="F4" s="1606">
        <f>'Revenues 9-14'!F109</f>
        <v>40142</v>
      </c>
      <c r="G4" s="1606">
        <f>'Revenues 9-14'!G109</f>
        <v>50688</v>
      </c>
      <c r="H4" s="1606">
        <f>'Revenues 9-14'!H109</f>
        <v>0</v>
      </c>
      <c r="I4" s="1606">
        <f>'Revenues 9-14'!I109</f>
        <v>16728</v>
      </c>
      <c r="J4" s="1606">
        <f>'Revenues 9-14'!J109</f>
        <v>69150</v>
      </c>
      <c r="K4" s="1606">
        <f>'Revenues 9-14'!K109</f>
        <v>22422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92449</v>
      </c>
      <c r="D6" s="1607">
        <f>'Revenues 9-14'!D170</f>
        <v>95000</v>
      </c>
      <c r="E6" s="1607">
        <f>'Revenues 9-14'!E170</f>
        <v>0</v>
      </c>
      <c r="F6" s="1607">
        <f>'Revenues 9-14'!F170</f>
        <v>60099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91277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1153677</v>
      </c>
      <c r="D8" s="1594">
        <f t="shared" ref="D8:K8" si="0">SUM(D4:D7)</f>
        <v>250869</v>
      </c>
      <c r="E8" s="1594">
        <f t="shared" si="0"/>
        <v>33705</v>
      </c>
      <c r="F8" s="1594">
        <f t="shared" si="0"/>
        <v>100241</v>
      </c>
      <c r="G8" s="1594">
        <f t="shared" si="0"/>
        <v>50688</v>
      </c>
      <c r="H8" s="1594">
        <f t="shared" si="0"/>
        <v>0</v>
      </c>
      <c r="I8" s="1594">
        <f t="shared" si="0"/>
        <v>16728</v>
      </c>
      <c r="J8" s="1594">
        <f t="shared" si="0"/>
        <v>69150</v>
      </c>
      <c r="K8" s="1594">
        <f t="shared" si="0"/>
        <v>22422</v>
      </c>
      <c r="L8" s="325"/>
    </row>
    <row r="9" spans="1:13" ht="15.75" thickTop="1" x14ac:dyDescent="0.2">
      <c r="A9" s="449" t="s">
        <v>1634</v>
      </c>
      <c r="B9" s="450">
        <v>3998</v>
      </c>
      <c r="C9" s="1586">
        <v>556772</v>
      </c>
      <c r="D9" s="1613"/>
      <c r="E9" s="1586"/>
      <c r="F9" s="1586"/>
      <c r="G9" s="1614"/>
      <c r="H9" s="1586"/>
      <c r="I9" s="1609" t="s">
        <v>1159</v>
      </c>
      <c r="J9" s="1583"/>
      <c r="K9" s="1586"/>
      <c r="L9" s="325"/>
    </row>
    <row r="10" spans="1:13" s="452" customFormat="1" ht="13.5" thickBot="1" x14ac:dyDescent="0.25">
      <c r="A10" s="1426" t="s">
        <v>1163</v>
      </c>
      <c r="B10" s="1407"/>
      <c r="C10" s="1594">
        <f>SUM(C8:C9)</f>
        <v>1710449</v>
      </c>
      <c r="D10" s="1594">
        <f t="shared" ref="D10:K10" si="1">SUM(D8:D9)</f>
        <v>250869</v>
      </c>
      <c r="E10" s="1594">
        <f t="shared" si="1"/>
        <v>33705</v>
      </c>
      <c r="F10" s="1594">
        <f t="shared" si="1"/>
        <v>100241</v>
      </c>
      <c r="G10" s="1594">
        <f t="shared" si="1"/>
        <v>50688</v>
      </c>
      <c r="H10" s="1594">
        <f t="shared" si="1"/>
        <v>0</v>
      </c>
      <c r="I10" s="1594">
        <f t="shared" si="1"/>
        <v>16728</v>
      </c>
      <c r="J10" s="1594">
        <f t="shared" si="1"/>
        <v>69150</v>
      </c>
      <c r="K10" s="1594">
        <f t="shared" si="1"/>
        <v>22422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796379</v>
      </c>
      <c r="D12" s="1616" t="s">
        <v>1159</v>
      </c>
      <c r="E12" s="1575" t="s">
        <v>1159</v>
      </c>
      <c r="F12" s="1575" t="s">
        <v>1159</v>
      </c>
      <c r="G12" s="1606">
        <f>'Expenditures 15-22'!K229</f>
        <v>17387</v>
      </c>
      <c r="H12" s="1617"/>
      <c r="I12" s="1575" t="s">
        <v>1159</v>
      </c>
      <c r="J12" s="1575" t="s">
        <v>1159</v>
      </c>
      <c r="K12" s="1617" t="s">
        <v>1159</v>
      </c>
      <c r="L12" s="325"/>
    </row>
    <row r="13" spans="1:13" ht="15.75" customHeight="1" x14ac:dyDescent="0.2">
      <c r="A13" s="1314" t="s">
        <v>454</v>
      </c>
      <c r="B13" s="1316">
        <v>2000</v>
      </c>
      <c r="C13" s="1607">
        <f>'Expenditures 15-22'!K74</f>
        <v>246910</v>
      </c>
      <c r="D13" s="1607">
        <f>'Expenditures 15-22'!K129</f>
        <v>127126</v>
      </c>
      <c r="E13" s="1576" t="s">
        <v>1159</v>
      </c>
      <c r="F13" s="1607">
        <f>'Expenditures 15-22'!K184</f>
        <v>77779</v>
      </c>
      <c r="G13" s="1607">
        <f>'Expenditures 15-22'!K279</f>
        <v>29538</v>
      </c>
      <c r="H13" s="1607">
        <f>'Expenditures 15-22'!K303</f>
        <v>0</v>
      </c>
      <c r="I13" s="1575" t="s">
        <v>1159</v>
      </c>
      <c r="J13" s="1607">
        <f>'Expenditures 15-22'!K330</f>
        <v>54127</v>
      </c>
      <c r="K13" s="1618">
        <f>'Expenditures 15-22'!K352</f>
        <v>511962</v>
      </c>
      <c r="L13" s="325"/>
    </row>
    <row r="14" spans="1:13" ht="15.75" customHeight="1" x14ac:dyDescent="0.2">
      <c r="A14" s="1314" t="s">
        <v>446</v>
      </c>
      <c r="B14" s="1316">
        <v>3000</v>
      </c>
      <c r="C14" s="1607">
        <f>'Expenditures 15-22'!K75</f>
        <v>180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41436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33666</v>
      </c>
      <c r="F16" s="1607">
        <f>'Expenditures 15-22'!K208</f>
        <v>10791</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1084905</v>
      </c>
      <c r="D17" s="1594">
        <f t="shared" si="2"/>
        <v>127126</v>
      </c>
      <c r="E17" s="1594">
        <f t="shared" si="2"/>
        <v>33666</v>
      </c>
      <c r="F17" s="1594">
        <f t="shared" si="2"/>
        <v>88570</v>
      </c>
      <c r="G17" s="1594">
        <f t="shared" si="2"/>
        <v>46925</v>
      </c>
      <c r="H17" s="1594">
        <f t="shared" si="2"/>
        <v>0</v>
      </c>
      <c r="I17" s="1575"/>
      <c r="J17" s="1594">
        <f>SUM(J12:J16)</f>
        <v>54127</v>
      </c>
      <c r="K17" s="1594">
        <f>SUM(K12:K16)</f>
        <v>511962</v>
      </c>
      <c r="L17" s="325"/>
    </row>
    <row r="18" spans="1:12" ht="15" customHeight="1" thickTop="1" x14ac:dyDescent="0.2">
      <c r="A18" s="1430" t="s">
        <v>1635</v>
      </c>
      <c r="B18" s="1431">
        <v>4180</v>
      </c>
      <c r="C18" s="1606">
        <f t="shared" ref="C18:H18" si="3">C9</f>
        <v>556772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1641677</v>
      </c>
      <c r="D19" s="1594">
        <f t="shared" si="4"/>
        <v>127126</v>
      </c>
      <c r="E19" s="1594">
        <f t="shared" si="4"/>
        <v>33666</v>
      </c>
      <c r="F19" s="1594">
        <f t="shared" si="4"/>
        <v>88570</v>
      </c>
      <c r="G19" s="1594">
        <f t="shared" si="4"/>
        <v>46925</v>
      </c>
      <c r="H19" s="1594">
        <f t="shared" si="4"/>
        <v>0</v>
      </c>
      <c r="I19" s="1575"/>
      <c r="J19" s="1594">
        <f>SUM(J17:J18)</f>
        <v>54127</v>
      </c>
      <c r="K19" s="1594">
        <f>SUM(K17:K18)</f>
        <v>511962</v>
      </c>
      <c r="L19" s="325"/>
    </row>
    <row r="20" spans="1:12" ht="16.5" thickTop="1" thickBot="1" x14ac:dyDescent="0.25">
      <c r="A20" s="2231" t="s">
        <v>1636</v>
      </c>
      <c r="B20" s="2232"/>
      <c r="C20" s="1622">
        <f>C8-C17</f>
        <v>68772</v>
      </c>
      <c r="D20" s="1622">
        <f t="shared" ref="D20:K20" si="5">D8-D17</f>
        <v>123743</v>
      </c>
      <c r="E20" s="1622">
        <f t="shared" si="5"/>
        <v>39</v>
      </c>
      <c r="F20" s="1622">
        <f t="shared" si="5"/>
        <v>11671</v>
      </c>
      <c r="G20" s="1622">
        <f t="shared" si="5"/>
        <v>3763</v>
      </c>
      <c r="H20" s="1622">
        <f t="shared" si="5"/>
        <v>0</v>
      </c>
      <c r="I20" s="1622">
        <f t="shared" si="5"/>
        <v>16728</v>
      </c>
      <c r="J20" s="1622">
        <f t="shared" si="5"/>
        <v>15023</v>
      </c>
      <c r="K20" s="1622">
        <f t="shared" si="5"/>
        <v>-489540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v>156867</v>
      </c>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2500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2500</v>
      </c>
      <c r="G44" s="1624">
        <f t="shared" si="6"/>
        <v>0</v>
      </c>
      <c r="H44" s="1624">
        <f t="shared" si="6"/>
        <v>0</v>
      </c>
      <c r="I44" s="1624">
        <f t="shared" si="6"/>
        <v>0</v>
      </c>
      <c r="J44" s="1624">
        <f t="shared" si="6"/>
        <v>0</v>
      </c>
      <c r="K44" s="1624">
        <f t="shared" si="6"/>
        <v>156867</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156867</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156867</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2500</v>
      </c>
      <c r="G77" s="1624">
        <f t="shared" si="8"/>
        <v>0</v>
      </c>
      <c r="H77" s="1624">
        <f t="shared" si="8"/>
        <v>0</v>
      </c>
      <c r="I77" s="1624">
        <f t="shared" si="8"/>
        <v>-156867</v>
      </c>
      <c r="J77" s="1624">
        <f t="shared" si="8"/>
        <v>0</v>
      </c>
      <c r="K77" s="1624">
        <f t="shared" si="8"/>
        <v>156867</v>
      </c>
      <c r="L77" s="325"/>
    </row>
    <row r="78" spans="1:12" ht="21.75" customHeight="1" thickTop="1" thickBot="1" x14ac:dyDescent="0.25">
      <c r="A78" s="2227" t="s">
        <v>593</v>
      </c>
      <c r="B78" s="2228"/>
      <c r="C78" s="1629">
        <f t="shared" ref="C78:K78" si="9">C20+C77</f>
        <v>68772</v>
      </c>
      <c r="D78" s="1629">
        <f t="shared" si="9"/>
        <v>123743</v>
      </c>
      <c r="E78" s="1629">
        <f t="shared" si="9"/>
        <v>39</v>
      </c>
      <c r="F78" s="1629">
        <f t="shared" si="9"/>
        <v>14171</v>
      </c>
      <c r="G78" s="1629">
        <f t="shared" si="9"/>
        <v>3763</v>
      </c>
      <c r="H78" s="1629">
        <f t="shared" si="9"/>
        <v>0</v>
      </c>
      <c r="I78" s="1629">
        <f t="shared" si="9"/>
        <v>-140139</v>
      </c>
      <c r="J78" s="1629">
        <f t="shared" si="9"/>
        <v>15023</v>
      </c>
      <c r="K78" s="1629">
        <f t="shared" si="9"/>
        <v>-332673</v>
      </c>
      <c r="L78" s="457"/>
    </row>
    <row r="79" spans="1:12" ht="13.5" thickTop="1" x14ac:dyDescent="0.2">
      <c r="A79" s="1844" t="str">
        <f>"Fund Balances - July 1, "&amp;'AFR20'!E2-1</f>
        <v>Fund Balances - July 1, 2019</v>
      </c>
      <c r="B79" s="458"/>
      <c r="C79" s="1583">
        <v>270193</v>
      </c>
      <c r="D79" s="1630">
        <v>192390</v>
      </c>
      <c r="E79" s="1630">
        <v>2800</v>
      </c>
      <c r="F79" s="1630">
        <v>14650</v>
      </c>
      <c r="G79" s="1630">
        <v>24622</v>
      </c>
      <c r="H79" s="1630"/>
      <c r="I79" s="1630">
        <v>305902</v>
      </c>
      <c r="J79" s="1630">
        <v>46598</v>
      </c>
      <c r="K79" s="1630">
        <v>336582</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338965</v>
      </c>
      <c r="D81" s="1594">
        <f>SUM(D78:D80)</f>
        <v>316133</v>
      </c>
      <c r="E81" s="1594">
        <f t="shared" ref="E81:K81" si="10">SUM(E78:E80)</f>
        <v>2839</v>
      </c>
      <c r="F81" s="1594">
        <f t="shared" si="10"/>
        <v>28821</v>
      </c>
      <c r="G81" s="1594">
        <f t="shared" si="10"/>
        <v>28385</v>
      </c>
      <c r="H81" s="1594">
        <f t="shared" si="10"/>
        <v>0</v>
      </c>
      <c r="I81" s="1594">
        <f t="shared" si="10"/>
        <v>165763</v>
      </c>
      <c r="J81" s="1594">
        <f t="shared" si="10"/>
        <v>61621</v>
      </c>
      <c r="K81" s="1594">
        <f t="shared" si="10"/>
        <v>3909</v>
      </c>
      <c r="L81" s="325"/>
    </row>
    <row r="82" spans="1:12" ht="0.75" customHeight="1" thickTop="1" thickBot="1" x14ac:dyDescent="0.25">
      <c r="A82" s="459" t="s">
        <v>340</v>
      </c>
      <c r="B82" s="460"/>
      <c r="C82" s="461">
        <f>(C81-C79)</f>
        <v>68772</v>
      </c>
      <c r="D82" s="461">
        <f t="shared" ref="D82:K82" si="11">(D81-D79)</f>
        <v>123743</v>
      </c>
      <c r="E82" s="461">
        <f t="shared" si="11"/>
        <v>39</v>
      </c>
      <c r="F82" s="461">
        <f t="shared" si="11"/>
        <v>14171</v>
      </c>
      <c r="G82" s="461">
        <f t="shared" si="11"/>
        <v>3763</v>
      </c>
      <c r="H82" s="461">
        <f t="shared" si="11"/>
        <v>0</v>
      </c>
      <c r="I82" s="461">
        <f t="shared" si="11"/>
        <v>-140139</v>
      </c>
      <c r="J82" s="461">
        <f t="shared" si="11"/>
        <v>15023</v>
      </c>
      <c r="K82" s="461">
        <f t="shared" si="11"/>
        <v>-332673</v>
      </c>
    </row>
    <row r="83" spans="1:12" ht="14.25" hidden="1" thickTop="1" thickBot="1" x14ac:dyDescent="0.25">
      <c r="A83" s="462" t="s">
        <v>341</v>
      </c>
      <c r="B83" s="428"/>
      <c r="C83" s="463">
        <f>C82/C81</f>
        <v>0.20288820379685218</v>
      </c>
      <c r="D83" s="463">
        <f t="shared" ref="D83:K83" si="12">D82/D81</f>
        <v>0.39142702596691897</v>
      </c>
      <c r="E83" s="463">
        <f t="shared" si="12"/>
        <v>1.3737231419513914E-2</v>
      </c>
      <c r="F83" s="463">
        <f t="shared" si="12"/>
        <v>0.4916900870892752</v>
      </c>
      <c r="G83" s="463">
        <f t="shared" si="12"/>
        <v>0.1325700193764312</v>
      </c>
      <c r="H83" s="463" t="e">
        <f t="shared" si="12"/>
        <v>#DIV/0!</v>
      </c>
      <c r="I83" s="463">
        <f t="shared" si="12"/>
        <v>-0.84541785561313443</v>
      </c>
      <c r="J83" s="463">
        <f t="shared" si="12"/>
        <v>0.24379675759887051</v>
      </c>
      <c r="K83" s="463">
        <f t="shared" si="12"/>
        <v>-85.104374520337686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3" activePane="bottomLeft" state="frozen"/>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592048</v>
      </c>
      <c r="D5" s="1586">
        <v>133796</v>
      </c>
      <c r="E5" s="1573">
        <v>33456</v>
      </c>
      <c r="F5" s="1631">
        <v>40142</v>
      </c>
      <c r="G5" s="1573">
        <v>17153</v>
      </c>
      <c r="H5" s="1573"/>
      <c r="I5" s="1573">
        <v>16728</v>
      </c>
      <c r="J5" s="1574">
        <v>67586</v>
      </c>
      <c r="K5" s="1573">
        <v>16728</v>
      </c>
    </row>
    <row r="6" spans="1:12" ht="15" x14ac:dyDescent="0.2">
      <c r="A6" s="427" t="s">
        <v>1643</v>
      </c>
      <c r="B6" s="429">
        <v>1130</v>
      </c>
      <c r="C6" s="1573">
        <v>16728</v>
      </c>
      <c r="D6" s="1573"/>
      <c r="E6" s="1580"/>
      <c r="F6" s="1580"/>
      <c r="G6" s="1575"/>
      <c r="H6" s="1575"/>
      <c r="I6" s="1575"/>
      <c r="J6" s="1575"/>
      <c r="K6" s="1575"/>
    </row>
    <row r="7" spans="1:12" x14ac:dyDescent="0.2">
      <c r="A7" s="427" t="s">
        <v>110</v>
      </c>
      <c r="B7" s="471">
        <v>1140</v>
      </c>
      <c r="C7" s="1573">
        <v>6692</v>
      </c>
      <c r="D7" s="1573"/>
      <c r="E7" s="1575"/>
      <c r="F7" s="1574"/>
      <c r="G7" s="1574"/>
      <c r="H7" s="1574"/>
      <c r="I7" s="1575"/>
      <c r="J7" s="1575"/>
      <c r="K7" s="1575"/>
    </row>
    <row r="8" spans="1:12" x14ac:dyDescent="0.2">
      <c r="A8" s="427" t="s">
        <v>410</v>
      </c>
      <c r="B8" s="429">
        <v>1150</v>
      </c>
      <c r="C8" s="1580"/>
      <c r="D8" s="1580"/>
      <c r="E8" s="1582"/>
      <c r="F8" s="1582"/>
      <c r="G8" s="1586">
        <v>27742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615468</v>
      </c>
      <c r="D12" s="1633">
        <f t="shared" si="0"/>
        <v>133796</v>
      </c>
      <c r="E12" s="1633">
        <f t="shared" si="0"/>
        <v>33456</v>
      </c>
      <c r="F12" s="1633">
        <f t="shared" si="0"/>
        <v>40142</v>
      </c>
      <c r="G12" s="1633">
        <f t="shared" si="0"/>
        <v>44895</v>
      </c>
      <c r="H12" s="1633">
        <f t="shared" si="0"/>
        <v>0</v>
      </c>
      <c r="I12" s="1633">
        <f t="shared" si="0"/>
        <v>16728</v>
      </c>
      <c r="J12" s="1633">
        <f t="shared" si="0"/>
        <v>67586</v>
      </c>
      <c r="K12" s="1594">
        <f t="shared" si="0"/>
        <v>16728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244259</v>
      </c>
      <c r="D16" s="1573"/>
      <c r="E16" s="1573"/>
      <c r="F16" s="1573"/>
      <c r="G16" s="1573">
        <v>4863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244259</v>
      </c>
      <c r="D18" s="1635">
        <f t="shared" ref="D18:K18" si="1">SUM(D14:D17)</f>
        <v>0</v>
      </c>
      <c r="E18" s="1635">
        <f t="shared" si="1"/>
        <v>0</v>
      </c>
      <c r="F18" s="1635">
        <f t="shared" si="1"/>
        <v>0</v>
      </c>
      <c r="G18" s="1635">
        <f t="shared" si="1"/>
        <v>4863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44+21849-5</f>
        <v>21888</v>
      </c>
      <c r="D65" s="1573"/>
      <c r="E65" s="1573">
        <v>208</v>
      </c>
      <c r="F65" s="1574"/>
      <c r="G65" s="1573">
        <f>824+2</f>
        <v>826</v>
      </c>
      <c r="H65" s="1573"/>
      <c r="I65" s="1573"/>
      <c r="J65" s="1574">
        <v>1395</v>
      </c>
      <c r="K65" s="1573">
        <v>4816</v>
      </c>
    </row>
    <row r="66" spans="1:11" ht="12.75" customHeight="1" x14ac:dyDescent="0.2">
      <c r="A66" s="427" t="s">
        <v>674</v>
      </c>
      <c r="B66" s="429">
        <v>1520</v>
      </c>
      <c r="C66" s="1573">
        <v>2944</v>
      </c>
      <c r="D66" s="1573"/>
      <c r="E66" s="1573">
        <v>41</v>
      </c>
      <c r="F66" s="1573"/>
      <c r="G66" s="1573">
        <v>104</v>
      </c>
      <c r="H66" s="1573"/>
      <c r="I66" s="1573"/>
      <c r="J66" s="1574">
        <v>169</v>
      </c>
      <c r="K66" s="1573">
        <v>878</v>
      </c>
    </row>
    <row r="67" spans="1:11" ht="12.75" customHeight="1" thickBot="1" x14ac:dyDescent="0.25">
      <c r="A67" s="1406" t="s">
        <v>483</v>
      </c>
      <c r="B67" s="1407"/>
      <c r="C67" s="1594">
        <f>SUM(C65:C66)</f>
        <v>24832</v>
      </c>
      <c r="D67" s="1594">
        <f t="shared" ref="D67:K67" si="2">SUM(D65:D66)</f>
        <v>0</v>
      </c>
      <c r="E67" s="1594">
        <f t="shared" si="2"/>
        <v>249</v>
      </c>
      <c r="F67" s="1594">
        <f t="shared" si="2"/>
        <v>0</v>
      </c>
      <c r="G67" s="1594">
        <f t="shared" si="2"/>
        <v>930</v>
      </c>
      <c r="H67" s="1594">
        <f t="shared" si="2"/>
        <v>0</v>
      </c>
      <c r="I67" s="1594">
        <f t="shared" si="2"/>
        <v>0</v>
      </c>
      <c r="J67" s="1594">
        <f t="shared" si="2"/>
        <v>1564</v>
      </c>
      <c r="K67" s="1594">
        <f t="shared" si="2"/>
        <v>5694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12056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1075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13131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2713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8254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10967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107</v>
      </c>
      <c r="D96" s="1632"/>
      <c r="E96" s="1584"/>
      <c r="F96" s="1583"/>
      <c r="G96" s="1583"/>
      <c r="H96" s="1583"/>
      <c r="I96" s="1583"/>
      <c r="J96" s="1583"/>
      <c r="K96" s="1583"/>
    </row>
    <row r="97" spans="1:12" ht="12.75" customHeight="1" x14ac:dyDescent="0.2">
      <c r="A97" s="1265" t="s">
        <v>242</v>
      </c>
      <c r="B97" s="477">
        <v>1930</v>
      </c>
      <c r="C97" s="1598"/>
      <c r="D97" s="1574">
        <v>22073</v>
      </c>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f>6167+55020</f>
        <v>61187</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61294</v>
      </c>
      <c r="D108" s="1633">
        <f t="shared" ref="D108:K108" si="3">SUM(D95:D107)</f>
        <v>22073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969951</v>
      </c>
      <c r="D109" s="1641">
        <f t="shared" si="4"/>
        <v>155869</v>
      </c>
      <c r="E109" s="1641">
        <f t="shared" si="4"/>
        <v>33705</v>
      </c>
      <c r="F109" s="1641">
        <f t="shared" si="4"/>
        <v>40142</v>
      </c>
      <c r="G109" s="1641">
        <f t="shared" si="4"/>
        <v>50688</v>
      </c>
      <c r="H109" s="1641">
        <f t="shared" si="4"/>
        <v>0</v>
      </c>
      <c r="I109" s="1641">
        <f t="shared" si="4"/>
        <v>16728</v>
      </c>
      <c r="J109" s="1641">
        <f t="shared" si="4"/>
        <v>69150</v>
      </c>
      <c r="K109" s="1629">
        <f t="shared" si="4"/>
        <v>22422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72608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72608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19724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19724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117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48353</v>
      </c>
      <c r="G152" s="1574"/>
      <c r="H152" s="1575"/>
      <c r="I152" s="1575"/>
      <c r="J152" s="1575"/>
      <c r="K152" s="1575"/>
    </row>
    <row r="153" spans="1:11" ht="12.75" customHeight="1" x14ac:dyDescent="0.2">
      <c r="A153" s="427" t="s">
        <v>1048</v>
      </c>
      <c r="B153" s="478">
        <v>3510</v>
      </c>
      <c r="C153" s="1632"/>
      <c r="D153" s="1573"/>
      <c r="E153" s="1640"/>
      <c r="F153" s="1573">
        <v>11746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60099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v>45000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19841</v>
      </c>
      <c r="D169" s="1658">
        <f t="shared" si="6"/>
        <v>95000</v>
      </c>
      <c r="E169" s="1658">
        <f t="shared" si="6"/>
        <v>0</v>
      </c>
      <c r="F169" s="1658">
        <f t="shared" si="6"/>
        <v>60099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92449</v>
      </c>
      <c r="D170" s="1641">
        <f t="shared" si="7"/>
        <v>95000</v>
      </c>
      <c r="E170" s="1641">
        <f t="shared" si="7"/>
        <v>0</v>
      </c>
      <c r="F170" s="1641">
        <f t="shared" si="7"/>
        <v>60099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7830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436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8266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27670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27670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409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23090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23499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4886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1955</v>
      </c>
      <c r="D263" s="1651"/>
      <c r="E263" s="1575"/>
      <c r="F263" s="1651"/>
      <c r="G263" s="1651"/>
      <c r="H263" s="1575"/>
      <c r="I263" s="1575"/>
      <c r="J263" s="1575"/>
      <c r="K263" s="1575"/>
    </row>
    <row r="264" spans="1:11" ht="12.75" customHeight="1" thickTop="1" thickBot="1" x14ac:dyDescent="0.25">
      <c r="A264" s="427" t="s">
        <v>374</v>
      </c>
      <c r="B264" s="429">
        <v>4992</v>
      </c>
      <c r="C264" s="1650">
        <v>2010</v>
      </c>
      <c r="D264" s="1651"/>
      <c r="E264" s="1575"/>
      <c r="F264" s="1651"/>
      <c r="G264" s="1651"/>
      <c r="H264" s="1575"/>
      <c r="I264" s="1575"/>
      <c r="J264" s="1575"/>
      <c r="K264" s="1575"/>
    </row>
    <row r="265" spans="1:11" s="489" customFormat="1" ht="12.75" customHeight="1" thickTop="1" thickBot="1" x14ac:dyDescent="0.25">
      <c r="A265" s="479" t="s">
        <v>75</v>
      </c>
      <c r="B265" s="475">
        <v>4998</v>
      </c>
      <c r="C265" s="1650">
        <v>22991</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91277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91277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1153677</v>
      </c>
      <c r="D268" s="1641">
        <f t="shared" si="12"/>
        <v>250869</v>
      </c>
      <c r="E268" s="1641">
        <f t="shared" si="12"/>
        <v>33705</v>
      </c>
      <c r="F268" s="1641">
        <f t="shared" si="12"/>
        <v>100241</v>
      </c>
      <c r="G268" s="1641">
        <f t="shared" si="12"/>
        <v>50688</v>
      </c>
      <c r="H268" s="1641">
        <f t="shared" si="12"/>
        <v>0</v>
      </c>
      <c r="I268" s="1641">
        <f t="shared" si="12"/>
        <v>16728</v>
      </c>
      <c r="J268" s="1641">
        <f t="shared" si="12"/>
        <v>69150</v>
      </c>
      <c r="K268" s="1629">
        <f t="shared" si="12"/>
        <v>22422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2" activePane="bottomLeft" state="frozen"/>
      <selection pane="bottomLeft" activeCell="E329" sqref="E32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465207</v>
      </c>
      <c r="D5" s="1573">
        <v>82362</v>
      </c>
      <c r="E5" s="1573">
        <v>15856</v>
      </c>
      <c r="F5" s="1573">
        <v>23051</v>
      </c>
      <c r="G5" s="1573">
        <v>10844</v>
      </c>
      <c r="H5" s="1573"/>
      <c r="I5" s="1574"/>
      <c r="J5" s="1574"/>
      <c r="K5" s="1672">
        <f>SUM(C5:J5)</f>
        <v>597320</v>
      </c>
      <c r="L5" s="1573">
        <v>610597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78406</v>
      </c>
      <c r="D8" s="1573">
        <v>14565</v>
      </c>
      <c r="E8" s="1573">
        <v>657</v>
      </c>
      <c r="F8" s="1573">
        <v>114</v>
      </c>
      <c r="G8" s="1573"/>
      <c r="H8" s="1573"/>
      <c r="I8" s="1574"/>
      <c r="J8" s="1574"/>
      <c r="K8" s="1672">
        <f t="shared" si="0"/>
        <v>93742</v>
      </c>
      <c r="L8" s="1573">
        <v>104196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16971</v>
      </c>
      <c r="D10" s="1573">
        <v>7935</v>
      </c>
      <c r="E10" s="1573">
        <v>2535</v>
      </c>
      <c r="F10" s="1573"/>
      <c r="G10" s="1573"/>
      <c r="H10" s="1573"/>
      <c r="I10" s="1574"/>
      <c r="J10" s="1574"/>
      <c r="K10" s="1672">
        <f t="shared" si="0"/>
        <v>27441</v>
      </c>
      <c r="L10" s="1573">
        <v>27990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v>2588</v>
      </c>
      <c r="D12" s="1573">
        <v>621</v>
      </c>
      <c r="E12" s="1573">
        <v>1669</v>
      </c>
      <c r="F12" s="1573"/>
      <c r="G12" s="1573"/>
      <c r="H12" s="1573"/>
      <c r="I12" s="1574"/>
      <c r="J12" s="1574"/>
      <c r="K12" s="1672">
        <f t="shared" si="0"/>
        <v>4878</v>
      </c>
      <c r="L12" s="1573">
        <v>4878</v>
      </c>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12113</v>
      </c>
      <c r="D14" s="1573">
        <v>1524</v>
      </c>
      <c r="E14" s="1573">
        <v>3291</v>
      </c>
      <c r="F14" s="1573">
        <v>830</v>
      </c>
      <c r="G14" s="1573"/>
      <c r="H14" s="1573"/>
      <c r="I14" s="1574"/>
      <c r="J14" s="1574"/>
      <c r="K14" s="1672">
        <f t="shared" si="0"/>
        <v>17758</v>
      </c>
      <c r="L14" s="1573">
        <v>18600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55240</v>
      </c>
      <c r="I22" s="1673"/>
      <c r="J22" s="1582"/>
      <c r="K22" s="1672">
        <f t="shared" si="0"/>
        <v>55240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575285</v>
      </c>
      <c r="D33" s="1674">
        <f t="shared" ref="D33:L33" si="1">SUM(D5:D32)</f>
        <v>107007</v>
      </c>
      <c r="E33" s="1674">
        <f t="shared" si="1"/>
        <v>24008</v>
      </c>
      <c r="F33" s="1674">
        <f t="shared" si="1"/>
        <v>23995</v>
      </c>
      <c r="G33" s="1674">
        <f t="shared" si="1"/>
        <v>10844</v>
      </c>
      <c r="H33" s="1674">
        <f t="shared" si="1"/>
        <v>55240</v>
      </c>
      <c r="I33" s="1674">
        <f t="shared" si="1"/>
        <v>0</v>
      </c>
      <c r="J33" s="1674">
        <f t="shared" si="1"/>
        <v>0</v>
      </c>
      <c r="K33" s="1674">
        <f t="shared" si="1"/>
        <v>796379</v>
      </c>
      <c r="L33" s="1674">
        <f t="shared" si="1"/>
        <v>766261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8800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v>2000</v>
      </c>
    </row>
    <row r="39" spans="1:14" x14ac:dyDescent="0.2">
      <c r="A39" s="1274" t="s">
        <v>197</v>
      </c>
      <c r="B39" s="503">
        <v>2140</v>
      </c>
      <c r="C39" s="1573"/>
      <c r="D39" s="1573"/>
      <c r="E39" s="1573"/>
      <c r="F39" s="1573"/>
      <c r="G39" s="1573"/>
      <c r="H39" s="1573"/>
      <c r="I39" s="1574"/>
      <c r="J39" s="1574"/>
      <c r="K39" s="1672">
        <f t="shared" si="2"/>
        <v>0</v>
      </c>
      <c r="L39" s="1573">
        <v>7800</v>
      </c>
    </row>
    <row r="40" spans="1:14" x14ac:dyDescent="0.2">
      <c r="A40" s="1274" t="s">
        <v>198</v>
      </c>
      <c r="B40" s="503">
        <v>2150</v>
      </c>
      <c r="C40" s="1573"/>
      <c r="D40" s="1573"/>
      <c r="E40" s="1573"/>
      <c r="F40" s="1573"/>
      <c r="G40" s="1573"/>
      <c r="H40" s="1573"/>
      <c r="I40" s="1574"/>
      <c r="J40" s="1574"/>
      <c r="K40" s="1672">
        <f t="shared" si="2"/>
        <v>0</v>
      </c>
      <c r="L40" s="1573">
        <v>13010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31610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550</v>
      </c>
      <c r="D49" s="1586">
        <v>71</v>
      </c>
      <c r="E49" s="1586">
        <f>21670+2133</f>
        <v>23803</v>
      </c>
      <c r="F49" s="1586">
        <v>1366</v>
      </c>
      <c r="G49" s="1586"/>
      <c r="H49" s="1586"/>
      <c r="I49" s="1574"/>
      <c r="J49" s="1574"/>
      <c r="K49" s="1678">
        <f>SUM(C49:J49)</f>
        <v>25790</v>
      </c>
      <c r="L49" s="1586">
        <v>26054</v>
      </c>
    </row>
    <row r="50" spans="1:14" x14ac:dyDescent="0.2">
      <c r="A50" s="1274" t="s">
        <v>813</v>
      </c>
      <c r="B50" s="503">
        <v>2320</v>
      </c>
      <c r="C50" s="1573">
        <v>56547</v>
      </c>
      <c r="D50" s="1573">
        <v>19350</v>
      </c>
      <c r="E50" s="1573"/>
      <c r="F50" s="1573"/>
      <c r="G50" s="1573"/>
      <c r="H50" s="1573"/>
      <c r="I50" s="1574"/>
      <c r="J50" s="1574"/>
      <c r="K50" s="1678">
        <f>SUM(C50:J50)</f>
        <v>75897</v>
      </c>
      <c r="L50" s="1573">
        <v>76397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57097</v>
      </c>
      <c r="D53" s="1674">
        <f t="shared" ref="D53:L53" si="5">SUM(D49:D52)</f>
        <v>19421</v>
      </c>
      <c r="E53" s="1674">
        <f t="shared" si="5"/>
        <v>23803</v>
      </c>
      <c r="F53" s="1674">
        <f t="shared" si="5"/>
        <v>1366</v>
      </c>
      <c r="G53" s="1674">
        <f t="shared" si="5"/>
        <v>0</v>
      </c>
      <c r="H53" s="1674">
        <f t="shared" si="5"/>
        <v>0</v>
      </c>
      <c r="I53" s="1674">
        <f t="shared" si="5"/>
        <v>0</v>
      </c>
      <c r="J53" s="1674">
        <f t="shared" si="5"/>
        <v>0</v>
      </c>
      <c r="K53" s="1674">
        <f t="shared" si="5"/>
        <v>101687</v>
      </c>
      <c r="L53" s="1674">
        <f t="shared" si="5"/>
        <v>102451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50250+17448</f>
        <v>67698</v>
      </c>
      <c r="D55" s="1586">
        <f>23200+1318</f>
        <v>24518</v>
      </c>
      <c r="E55" s="1586">
        <v>1347</v>
      </c>
      <c r="F55" s="1586"/>
      <c r="G55" s="1586"/>
      <c r="H55" s="1586"/>
      <c r="I55" s="1574"/>
      <c r="J55" s="1574"/>
      <c r="K55" s="1678">
        <f>SUM(C55:J55)</f>
        <v>93563</v>
      </c>
      <c r="L55" s="1586">
        <v>93885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67698</v>
      </c>
      <c r="D57" s="1679">
        <f t="shared" ref="D57:K57" si="6">SUM(D55:D56)</f>
        <v>24518</v>
      </c>
      <c r="E57" s="1679">
        <f t="shared" si="6"/>
        <v>1347</v>
      </c>
      <c r="F57" s="1679">
        <f t="shared" si="6"/>
        <v>0</v>
      </c>
      <c r="G57" s="1679">
        <f t="shared" si="6"/>
        <v>0</v>
      </c>
      <c r="H57" s="1679">
        <f t="shared" si="6"/>
        <v>0</v>
      </c>
      <c r="I57" s="1679">
        <f t="shared" si="6"/>
        <v>0</v>
      </c>
      <c r="J57" s="1679">
        <f t="shared" si="6"/>
        <v>0</v>
      </c>
      <c r="K57" s="1679">
        <f t="shared" si="6"/>
        <v>93563</v>
      </c>
      <c r="L57" s="1674">
        <f>SUM(L55:L56)</f>
        <v>93885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10549</v>
      </c>
      <c r="D60" s="1573"/>
      <c r="E60" s="1573"/>
      <c r="F60" s="1573"/>
      <c r="G60" s="1573"/>
      <c r="H60" s="1573"/>
      <c r="I60" s="1574"/>
      <c r="J60" s="1574"/>
      <c r="K60" s="1678">
        <f t="shared" si="7"/>
        <v>10549</v>
      </c>
      <c r="L60" s="1573">
        <v>10600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18163</v>
      </c>
      <c r="D63" s="1573"/>
      <c r="E63" s="1573">
        <v>1061</v>
      </c>
      <c r="F63" s="1573">
        <v>21887</v>
      </c>
      <c r="G63" s="1573"/>
      <c r="H63" s="1573"/>
      <c r="I63" s="1574"/>
      <c r="J63" s="1574"/>
      <c r="K63" s="1678">
        <f t="shared" si="7"/>
        <v>41111</v>
      </c>
      <c r="L63" s="1573">
        <v>41340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28712</v>
      </c>
      <c r="D65" s="1674">
        <f t="shared" ref="D65:L65" si="8">SUM(D59:D64)</f>
        <v>0</v>
      </c>
      <c r="E65" s="1674">
        <f t="shared" si="8"/>
        <v>1061</v>
      </c>
      <c r="F65" s="1674">
        <f t="shared" si="8"/>
        <v>21887</v>
      </c>
      <c r="G65" s="1674">
        <f t="shared" si="8"/>
        <v>0</v>
      </c>
      <c r="H65" s="1674">
        <f t="shared" si="8"/>
        <v>0</v>
      </c>
      <c r="I65" s="1674">
        <f t="shared" si="8"/>
        <v>0</v>
      </c>
      <c r="J65" s="1674">
        <f t="shared" si="8"/>
        <v>0</v>
      </c>
      <c r="K65" s="1674">
        <f t="shared" si="8"/>
        <v>51660</v>
      </c>
      <c r="L65" s="1674">
        <f t="shared" si="8"/>
        <v>51940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153507</v>
      </c>
      <c r="D74" s="1681">
        <f t="shared" ref="D74:K74" si="10">SUM(D42,D47,D53,D57,D65,D72,D73)</f>
        <v>43939</v>
      </c>
      <c r="E74" s="1681">
        <f t="shared" si="10"/>
        <v>26211</v>
      </c>
      <c r="F74" s="1681">
        <f t="shared" si="10"/>
        <v>23253</v>
      </c>
      <c r="G74" s="1681">
        <f t="shared" si="10"/>
        <v>0</v>
      </c>
      <c r="H74" s="1681">
        <f t="shared" si="10"/>
        <v>0</v>
      </c>
      <c r="I74" s="1681">
        <f t="shared" si="10"/>
        <v>0</v>
      </c>
      <c r="J74" s="1681">
        <f t="shared" si="10"/>
        <v>0</v>
      </c>
      <c r="K74" s="1681">
        <f t="shared" si="10"/>
        <v>246910</v>
      </c>
      <c r="L74" s="1681">
        <f>SUM(L42,L47,L53,L57,L65,L72,L73)</f>
        <v>279886</v>
      </c>
    </row>
    <row r="75" spans="1:14" s="254" customFormat="1" ht="15.75" customHeight="1" thickTop="1" thickBot="1" x14ac:dyDescent="0.25">
      <c r="A75" s="1348" t="s">
        <v>47</v>
      </c>
      <c r="B75" s="1349" t="s">
        <v>571</v>
      </c>
      <c r="C75" s="1649"/>
      <c r="D75" s="1649"/>
      <c r="E75" s="1649"/>
      <c r="F75" s="1649">
        <v>180</v>
      </c>
      <c r="G75" s="1649"/>
      <c r="H75" s="1649"/>
      <c r="I75" s="1627"/>
      <c r="J75" s="1627"/>
      <c r="K75" s="1674">
        <f>SUM(C75:J75)</f>
        <v>180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31689</v>
      </c>
      <c r="F79" s="1673"/>
      <c r="G79" s="1673"/>
      <c r="H79" s="1573">
        <v>9747</v>
      </c>
      <c r="I79" s="1582"/>
      <c r="J79" s="1582"/>
      <c r="K79" s="1672">
        <f t="shared" si="11"/>
        <v>41436</v>
      </c>
      <c r="L79" s="1573">
        <v>18488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31689</v>
      </c>
      <c r="F84" s="1673"/>
      <c r="G84" s="1673"/>
      <c r="H84" s="1674">
        <f>SUM(H78:H83)</f>
        <v>9747</v>
      </c>
      <c r="I84" s="1582"/>
      <c r="J84" s="1582"/>
      <c r="K84" s="1674">
        <f>SUM(K78:K83)</f>
        <v>41436</v>
      </c>
      <c r="L84" s="1674">
        <f>SUM(L78:L83)</f>
        <v>18488</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3650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3650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31689</v>
      </c>
      <c r="F102" s="1673"/>
      <c r="G102" s="1673"/>
      <c r="H102" s="1681">
        <f>SUM(H84,H92,H100,H101)</f>
        <v>9747</v>
      </c>
      <c r="I102" s="1582"/>
      <c r="J102" s="1582"/>
      <c r="K102" s="1681">
        <f>SUM(K84,K92,K100,K101)</f>
        <v>41436</v>
      </c>
      <c r="L102" s="1681">
        <f>SUM(L84,L92,L100,L101)</f>
        <v>22138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728792</v>
      </c>
      <c r="D114" s="1674">
        <f t="shared" ref="D114:K114" si="13">SUM(D33,D74,D75,D102,D112,D113)</f>
        <v>150946</v>
      </c>
      <c r="E114" s="1674">
        <f t="shared" si="13"/>
        <v>81908</v>
      </c>
      <c r="F114" s="1674">
        <f t="shared" si="13"/>
        <v>47428</v>
      </c>
      <c r="G114" s="1674">
        <f t="shared" si="13"/>
        <v>10844</v>
      </c>
      <c r="H114" s="1674">
        <f>SUM(H33,H74,H75,H102,H112,H113)</f>
        <v>64987</v>
      </c>
      <c r="I114" s="1674">
        <f t="shared" si="13"/>
        <v>0</v>
      </c>
      <c r="J114" s="1674">
        <f t="shared" si="13"/>
        <v>0</v>
      </c>
      <c r="K114" s="1674">
        <f t="shared" si="13"/>
        <v>1084905</v>
      </c>
      <c r="L114" s="1674">
        <f>SUM(L33,L74,L75,L102,L112,L113)</f>
        <v>1068285</v>
      </c>
    </row>
    <row r="115" spans="1:14" ht="13.5" thickTop="1" x14ac:dyDescent="0.2">
      <c r="A115" s="2286" t="s">
        <v>989</v>
      </c>
      <c r="B115" s="2287"/>
      <c r="C115" s="1675"/>
      <c r="D115" s="1675"/>
      <c r="E115" s="1675"/>
      <c r="F115" s="1675"/>
      <c r="G115" s="1675"/>
      <c r="H115" s="1675"/>
      <c r="I115" s="1675"/>
      <c r="J115" s="1675"/>
      <c r="K115" s="1689">
        <f>'Revenues 9-14'!C268-'Expenditures 15-22'!K114</f>
        <v>68772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46312</v>
      </c>
      <c r="D124" s="1573">
        <v>19855</v>
      </c>
      <c r="E124" s="1573">
        <v>53807</v>
      </c>
      <c r="F124" s="1573">
        <v>7152</v>
      </c>
      <c r="G124" s="1573"/>
      <c r="H124" s="1573"/>
      <c r="I124" s="1574"/>
      <c r="J124" s="1574"/>
      <c r="K124" s="1674">
        <f>SUM(C124:J124)</f>
        <v>127126</v>
      </c>
      <c r="L124" s="1573">
        <v>142918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46312</v>
      </c>
      <c r="D127" s="1674">
        <f t="shared" ref="D127:L127" si="14">SUM(D122:D126)</f>
        <v>19855</v>
      </c>
      <c r="E127" s="1674">
        <f t="shared" si="14"/>
        <v>53807</v>
      </c>
      <c r="F127" s="1674">
        <f t="shared" si="14"/>
        <v>7152</v>
      </c>
      <c r="G127" s="1674">
        <f t="shared" si="14"/>
        <v>0</v>
      </c>
      <c r="H127" s="1674">
        <f t="shared" si="14"/>
        <v>0</v>
      </c>
      <c r="I127" s="1674">
        <f t="shared" si="14"/>
        <v>0</v>
      </c>
      <c r="J127" s="1674">
        <f t="shared" si="14"/>
        <v>0</v>
      </c>
      <c r="K127" s="1674">
        <f t="shared" si="14"/>
        <v>127126</v>
      </c>
      <c r="L127" s="1674">
        <f t="shared" si="14"/>
        <v>142918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46312</v>
      </c>
      <c r="D129" s="1681">
        <f t="shared" ref="D129:L129" si="15">SUM(D120,D127,D128)</f>
        <v>19855</v>
      </c>
      <c r="E129" s="1681">
        <f t="shared" si="15"/>
        <v>53807</v>
      </c>
      <c r="F129" s="1681">
        <f t="shared" si="15"/>
        <v>7152</v>
      </c>
      <c r="G129" s="1681">
        <f t="shared" si="15"/>
        <v>0</v>
      </c>
      <c r="H129" s="1681">
        <f t="shared" si="15"/>
        <v>0</v>
      </c>
      <c r="I129" s="1681">
        <f t="shared" si="15"/>
        <v>0</v>
      </c>
      <c r="J129" s="1681">
        <f t="shared" si="15"/>
        <v>0</v>
      </c>
      <c r="K129" s="1681">
        <f t="shared" si="15"/>
        <v>127126</v>
      </c>
      <c r="L129" s="1681">
        <f t="shared" si="15"/>
        <v>142918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46312</v>
      </c>
      <c r="D151" s="1674">
        <f t="shared" ref="D151:K151" si="16">SUM(D129,D130,D139,D149,D150)</f>
        <v>19855</v>
      </c>
      <c r="E151" s="1674">
        <f t="shared" si="16"/>
        <v>53807</v>
      </c>
      <c r="F151" s="1674">
        <f t="shared" si="16"/>
        <v>7152</v>
      </c>
      <c r="G151" s="1674">
        <f t="shared" si="16"/>
        <v>0</v>
      </c>
      <c r="H151" s="1674">
        <f t="shared" si="16"/>
        <v>0</v>
      </c>
      <c r="I151" s="1674">
        <f t="shared" si="16"/>
        <v>0</v>
      </c>
      <c r="J151" s="1674">
        <f t="shared" si="16"/>
        <v>0</v>
      </c>
      <c r="K151" s="1674">
        <f t="shared" si="16"/>
        <v>127126</v>
      </c>
      <c r="L151" s="1674">
        <f>SUM(L129,L130,L139,L149,L150)</f>
        <v>142918</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123743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14166</v>
      </c>
      <c r="I169" s="1673"/>
      <c r="J169" s="1673"/>
      <c r="K169" s="1672">
        <f>SUM(C169:H169)</f>
        <v>14166</v>
      </c>
      <c r="L169" s="1695">
        <v>14166</v>
      </c>
    </row>
    <row r="170" spans="1:14" ht="33.75" customHeight="1" x14ac:dyDescent="0.2">
      <c r="A170" s="543" t="s">
        <v>1651</v>
      </c>
      <c r="B170" s="545" t="s">
        <v>31</v>
      </c>
      <c r="C170" s="1673"/>
      <c r="D170" s="1673"/>
      <c r="E170" s="1673"/>
      <c r="F170" s="1673"/>
      <c r="G170" s="1673"/>
      <c r="H170" s="1646">
        <v>19000</v>
      </c>
      <c r="I170" s="1673"/>
      <c r="J170" s="1673"/>
      <c r="K170" s="1672">
        <f>SUM(C170:J170)</f>
        <v>19000</v>
      </c>
      <c r="L170" s="1646">
        <v>19000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33666</v>
      </c>
      <c r="I172" s="1684"/>
      <c r="J172" s="1673"/>
      <c r="K172" s="1681">
        <f>SUM(K168,K169,K170,K171)</f>
        <v>33666</v>
      </c>
      <c r="L172" s="1681">
        <f>SUM(L168,L169,L170,L171)</f>
        <v>33666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33666</v>
      </c>
      <c r="I174" s="1684"/>
      <c r="J174" s="1673"/>
      <c r="K174" s="1681">
        <f>SUM(K160,K172,K173)</f>
        <v>33666</v>
      </c>
      <c r="L174" s="1681">
        <f>SUM(L160,L172,L173)</f>
        <v>33666</v>
      </c>
    </row>
    <row r="175" spans="1:14" ht="13.5" thickTop="1" x14ac:dyDescent="0.2">
      <c r="A175" s="2286" t="s">
        <v>989</v>
      </c>
      <c r="B175" s="2287"/>
      <c r="C175" s="1673"/>
      <c r="D175" s="1673"/>
      <c r="E175" s="1673"/>
      <c r="F175" s="1673"/>
      <c r="G175" s="1673"/>
      <c r="H175" s="1675"/>
      <c r="I175" s="1673"/>
      <c r="J175" s="1673"/>
      <c r="K175" s="1689">
        <f>'Revenues 9-14'!E268-'Expenditures 15-22'!K174</f>
        <v>39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43235</v>
      </c>
      <c r="D182" s="1573">
        <v>1983</v>
      </c>
      <c r="E182" s="1573">
        <v>22520</v>
      </c>
      <c r="F182" s="1573">
        <f>10040+1</f>
        <v>10041</v>
      </c>
      <c r="G182" s="1573"/>
      <c r="H182" s="1573"/>
      <c r="I182" s="1574"/>
      <c r="J182" s="1574"/>
      <c r="K182" s="1672">
        <f>SUM(C182:J182)</f>
        <v>77779</v>
      </c>
      <c r="L182" s="1573">
        <v>99809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43235</v>
      </c>
      <c r="D184" s="1681">
        <f t="shared" ref="D184:J184" si="17">SUM(D180,D182,D183)</f>
        <v>1983</v>
      </c>
      <c r="E184" s="1681">
        <f t="shared" si="17"/>
        <v>22520</v>
      </c>
      <c r="F184" s="1681">
        <f t="shared" si="17"/>
        <v>10041</v>
      </c>
      <c r="G184" s="1681">
        <f t="shared" si="17"/>
        <v>0</v>
      </c>
      <c r="H184" s="1681">
        <f t="shared" si="17"/>
        <v>0</v>
      </c>
      <c r="I184" s="1681">
        <f t="shared" si="17"/>
        <v>0</v>
      </c>
      <c r="J184" s="1681">
        <f t="shared" si="17"/>
        <v>0</v>
      </c>
      <c r="K184" s="1681">
        <f>SUM(K180,K182,K183)</f>
        <v>77779</v>
      </c>
      <c r="L184" s="1681">
        <f>SUM(L180, L182:L183)</f>
        <v>99809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562</v>
      </c>
      <c r="I205" s="1673"/>
      <c r="J205" s="1673"/>
      <c r="K205" s="1696">
        <f>SUM(H205)</f>
        <v>562</v>
      </c>
      <c r="L205" s="1630"/>
    </row>
    <row r="206" spans="1:14" ht="30" customHeight="1" x14ac:dyDescent="0.2">
      <c r="A206" s="555" t="s">
        <v>1652</v>
      </c>
      <c r="B206" s="546" t="s">
        <v>31</v>
      </c>
      <c r="C206" s="1673"/>
      <c r="D206" s="1673"/>
      <c r="E206" s="1673"/>
      <c r="F206" s="1673"/>
      <c r="G206" s="1673"/>
      <c r="H206" s="1573">
        <v>10229</v>
      </c>
      <c r="I206" s="1673"/>
      <c r="J206" s="1673"/>
      <c r="K206" s="1672">
        <f>SUM(H206)</f>
        <v>10229</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10791</v>
      </c>
      <c r="I208" s="1673"/>
      <c r="J208" s="1673"/>
      <c r="K208" s="1681">
        <f>SUM(K204,K205,K206,K207)</f>
        <v>10791</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43235</v>
      </c>
      <c r="D210" s="1674">
        <f>SUM(D184,D185)</f>
        <v>1983</v>
      </c>
      <c r="E210" s="1674">
        <f>SUM(E184,E185,E196)</f>
        <v>22520</v>
      </c>
      <c r="F210" s="1674">
        <f>SUM(F184,F185)</f>
        <v>10041</v>
      </c>
      <c r="G210" s="1674">
        <f>SUM(G184,G185)</f>
        <v>0</v>
      </c>
      <c r="H210" s="1674">
        <f>SUM(H184,H185,H196,H208,H209)</f>
        <v>10791</v>
      </c>
      <c r="I210" s="1674">
        <f>SUM(I184,I185)</f>
        <v>0</v>
      </c>
      <c r="J210" s="1674">
        <f>SUM(J184,J185)</f>
        <v>0</v>
      </c>
      <c r="K210" s="1672">
        <f>SUM(K184,K185,K196,K208,K209)</f>
        <v>88570</v>
      </c>
      <c r="L210" s="1674">
        <f>SUM(L184,L185,L196,L208,L209)</f>
        <v>99809</v>
      </c>
    </row>
    <row r="211" spans="1:14" ht="13.5" thickTop="1" x14ac:dyDescent="0.2">
      <c r="A211" s="2286" t="s">
        <v>989</v>
      </c>
      <c r="B211" s="2287"/>
      <c r="C211" s="1675"/>
      <c r="D211" s="1675"/>
      <c r="E211" s="1675"/>
      <c r="F211" s="1675"/>
      <c r="G211" s="1675"/>
      <c r="H211" s="1675"/>
      <c r="I211" s="1673"/>
      <c r="J211" s="1673"/>
      <c r="K211" s="1689">
        <f>'Revenues 9-14'!F268-'Expenditures 15-22'!K210</f>
        <v>11671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5701</v>
      </c>
      <c r="E215" s="1673"/>
      <c r="F215" s="1673"/>
      <c r="G215" s="1673"/>
      <c r="H215" s="1673"/>
      <c r="I215" s="1673"/>
      <c r="J215" s="1673"/>
      <c r="K215" s="1672">
        <f>D215</f>
        <v>5701</v>
      </c>
      <c r="L215" s="1573">
        <v>5700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4608+2049+1149</f>
        <v>7806</v>
      </c>
      <c r="E217" s="1673"/>
      <c r="F217" s="1673"/>
      <c r="G217" s="1673"/>
      <c r="H217" s="1673"/>
      <c r="I217" s="1673"/>
      <c r="J217" s="1673"/>
      <c r="K217" s="1672">
        <f t="shared" si="19"/>
        <v>7806</v>
      </c>
      <c r="L217" s="1573">
        <v>7800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f>2349+1052+246</f>
        <v>3647</v>
      </c>
      <c r="E219" s="1673"/>
      <c r="F219" s="1673"/>
      <c r="G219" s="1673"/>
      <c r="H219" s="1673"/>
      <c r="I219" s="1673"/>
      <c r="J219" s="1673"/>
      <c r="K219" s="1672">
        <f t="shared" si="19"/>
        <v>3647</v>
      </c>
      <c r="L219" s="1573">
        <v>3430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v>38</v>
      </c>
      <c r="E221" s="1673"/>
      <c r="F221" s="1673"/>
      <c r="G221" s="1673"/>
      <c r="H221" s="1673"/>
      <c r="I221" s="1673"/>
      <c r="J221" s="1673"/>
      <c r="K221" s="1672">
        <f t="shared" si="19"/>
        <v>38</v>
      </c>
      <c r="L221" s="1573">
        <v>100</v>
      </c>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19+176</f>
        <v>195</v>
      </c>
      <c r="E223" s="1673"/>
      <c r="F223" s="1673"/>
      <c r="G223" s="1673"/>
      <c r="H223" s="1673"/>
      <c r="I223" s="1673"/>
      <c r="J223" s="1673"/>
      <c r="K223" s="1672">
        <f t="shared" si="19"/>
        <v>195</v>
      </c>
      <c r="L223" s="1573">
        <v>400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17387</v>
      </c>
      <c r="E229" s="1673"/>
      <c r="F229" s="1673"/>
      <c r="G229" s="1673"/>
      <c r="H229" s="1673"/>
      <c r="I229" s="1673"/>
      <c r="J229" s="1673"/>
      <c r="K229" s="1674">
        <f>SUM(K215:K228)</f>
        <v>17387</v>
      </c>
      <c r="L229" s="1674">
        <f>SUM(L215:L228)</f>
        <v>17430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v>
      </c>
      <c r="E245" s="1673"/>
      <c r="F245" s="1673"/>
      <c r="G245" s="1673"/>
      <c r="H245" s="1673"/>
      <c r="I245" s="1673"/>
      <c r="J245" s="1673"/>
      <c r="K245" s="1678">
        <f>D245</f>
        <v>8</v>
      </c>
      <c r="L245" s="1586">
        <v>50</v>
      </c>
    </row>
    <row r="246" spans="1:12" x14ac:dyDescent="0.2">
      <c r="A246" s="1274" t="s">
        <v>813</v>
      </c>
      <c r="B246" s="503">
        <v>2320</v>
      </c>
      <c r="C246" s="1673"/>
      <c r="D246" s="1573">
        <v>820</v>
      </c>
      <c r="E246" s="1673"/>
      <c r="F246" s="1673"/>
      <c r="G246" s="1673"/>
      <c r="H246" s="1673"/>
      <c r="I246" s="1673"/>
      <c r="J246" s="1673"/>
      <c r="K246" s="1678">
        <f t="shared" ref="K246:K256" si="21">D246</f>
        <v>820</v>
      </c>
      <c r="L246" s="1573">
        <v>900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f>1575+706+341</f>
        <v>2622</v>
      </c>
      <c r="E254" s="1673"/>
      <c r="F254" s="1673"/>
      <c r="G254" s="1673"/>
      <c r="H254" s="1673"/>
      <c r="I254" s="1673"/>
      <c r="J254" s="1673"/>
      <c r="K254" s="1678">
        <f t="shared" si="21"/>
        <v>2622</v>
      </c>
      <c r="L254" s="1573">
        <v>3000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3450</v>
      </c>
      <c r="E257" s="1673"/>
      <c r="F257" s="1673"/>
      <c r="G257" s="1673"/>
      <c r="H257" s="1673"/>
      <c r="I257" s="1673"/>
      <c r="J257" s="1673"/>
      <c r="K257" s="1674">
        <f>SUM(K245:K256)</f>
        <v>3450</v>
      </c>
      <c r="L257" s="1674">
        <f>SUM(L245:L256)</f>
        <v>3950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729+2344+1082+253</f>
        <v>4408</v>
      </c>
      <c r="E259" s="1673"/>
      <c r="F259" s="1673"/>
      <c r="G259" s="1673"/>
      <c r="H259" s="1673"/>
      <c r="I259" s="1673"/>
      <c r="J259" s="1673"/>
      <c r="K259" s="1678">
        <f>D259</f>
        <v>4408</v>
      </c>
      <c r="L259" s="1586">
        <v>5000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4408</v>
      </c>
      <c r="E261" s="1673"/>
      <c r="F261" s="1673"/>
      <c r="G261" s="1673"/>
      <c r="H261" s="1673"/>
      <c r="I261" s="1673"/>
      <c r="J261" s="1673"/>
      <c r="K261" s="1674">
        <f>SUM(K259:K260)</f>
        <v>4408</v>
      </c>
      <c r="L261" s="1674">
        <f>SUM(L259:L260)</f>
        <v>5000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1460+654+153</f>
        <v>2267</v>
      </c>
      <c r="E264" s="1673"/>
      <c r="F264" s="1673"/>
      <c r="G264" s="1673"/>
      <c r="H264" s="1673"/>
      <c r="I264" s="1673"/>
      <c r="J264" s="1673"/>
      <c r="K264" s="1678">
        <f t="shared" ref="K264:K269" si="22">D264</f>
        <v>2267</v>
      </c>
      <c r="L264" s="1573">
        <v>2500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4812+2469+672</f>
        <v>7953</v>
      </c>
      <c r="E266" s="1673"/>
      <c r="F266" s="1673"/>
      <c r="G266" s="1673"/>
      <c r="H266" s="1673"/>
      <c r="I266" s="1673"/>
      <c r="J266" s="1673"/>
      <c r="K266" s="1678">
        <f t="shared" si="22"/>
        <v>7953</v>
      </c>
      <c r="L266" s="1573">
        <v>7800</v>
      </c>
    </row>
    <row r="267" spans="1:14" x14ac:dyDescent="0.2">
      <c r="A267" s="1274" t="s">
        <v>947</v>
      </c>
      <c r="B267" s="503">
        <v>2550</v>
      </c>
      <c r="C267" s="1673"/>
      <c r="D267" s="1573">
        <f>4707+2265+627</f>
        <v>7599</v>
      </c>
      <c r="E267" s="1673"/>
      <c r="F267" s="1673"/>
      <c r="G267" s="1673"/>
      <c r="H267" s="1673"/>
      <c r="I267" s="1673"/>
      <c r="J267" s="1673"/>
      <c r="K267" s="1678">
        <f t="shared" si="22"/>
        <v>7599</v>
      </c>
      <c r="L267" s="1573">
        <v>8600</v>
      </c>
    </row>
    <row r="268" spans="1:14" x14ac:dyDescent="0.2">
      <c r="A268" s="1274" t="s">
        <v>100</v>
      </c>
      <c r="B268" s="503">
        <v>2560</v>
      </c>
      <c r="C268" s="1673"/>
      <c r="D268" s="1573">
        <f>2472+1126+263</f>
        <v>3861</v>
      </c>
      <c r="E268" s="1673"/>
      <c r="F268" s="1673"/>
      <c r="G268" s="1673"/>
      <c r="H268" s="1673"/>
      <c r="I268" s="1673"/>
      <c r="J268" s="1673"/>
      <c r="K268" s="1678">
        <f t="shared" si="22"/>
        <v>3861</v>
      </c>
      <c r="L268" s="1573">
        <v>3900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21680</v>
      </c>
      <c r="E270" s="1673"/>
      <c r="F270" s="1673"/>
      <c r="G270" s="1673"/>
      <c r="H270" s="1673"/>
      <c r="I270" s="1673"/>
      <c r="J270" s="1673"/>
      <c r="K270" s="1674">
        <f>SUM(K263:K269)</f>
        <v>21680</v>
      </c>
      <c r="L270" s="1674">
        <f>SUM(L263:L269)</f>
        <v>22800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29538</v>
      </c>
      <c r="E279" s="1673"/>
      <c r="F279" s="1673"/>
      <c r="G279" s="1673"/>
      <c r="H279" s="1673"/>
      <c r="I279" s="1673"/>
      <c r="J279" s="1673"/>
      <c r="K279" s="1681">
        <f>SUM(K238,K243,K257,K261,K270,K277,K278)</f>
        <v>29538</v>
      </c>
      <c r="L279" s="1681">
        <f>SUM(L238,L243,L257,L261,L270,L277,L278)</f>
        <v>31750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46925</v>
      </c>
      <c r="E295" s="1673"/>
      <c r="F295" s="1673"/>
      <c r="G295" s="1673"/>
      <c r="H295" s="1674">
        <f>H293</f>
        <v>0</v>
      </c>
      <c r="I295" s="1673"/>
      <c r="J295" s="1673"/>
      <c r="K295" s="1674">
        <f>SUM(K229,K279,K280,K285,K293,K294)</f>
        <v>46925</v>
      </c>
      <c r="L295" s="1674">
        <f>SUM(L229,L279,L280,L285,L293,L294)</f>
        <v>49180</v>
      </c>
    </row>
    <row r="296" spans="1:14" ht="13.5" thickTop="1" x14ac:dyDescent="0.2">
      <c r="A296" s="2286" t="s">
        <v>989</v>
      </c>
      <c r="B296" s="2287"/>
      <c r="C296" s="1673"/>
      <c r="D296" s="1675"/>
      <c r="E296" s="1673"/>
      <c r="F296" s="1673"/>
      <c r="G296" s="1673"/>
      <c r="H296" s="1707"/>
      <c r="I296" s="1673"/>
      <c r="J296" s="1673"/>
      <c r="K296" s="1689">
        <f>'Revenues 9-14'!G268-'Expenditures 15-22'!K295</f>
        <v>3763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9202</v>
      </c>
      <c r="F320" s="1574"/>
      <c r="G320" s="1574"/>
      <c r="H320" s="1574"/>
      <c r="I320" s="1574"/>
      <c r="J320" s="1574"/>
      <c r="K320" s="1672">
        <f t="shared" ref="K320:K327" si="24">SUM(C320:J320)</f>
        <v>9202</v>
      </c>
      <c r="L320" s="1574">
        <v>9202</v>
      </c>
      <c r="M320" s="539"/>
      <c r="N320" s="539"/>
    </row>
    <row r="321" spans="1:14" s="548" customFormat="1" x14ac:dyDescent="0.2">
      <c r="A321" s="1289" t="s">
        <v>297</v>
      </c>
      <c r="B321" s="567" t="s">
        <v>281</v>
      </c>
      <c r="C321" s="1574"/>
      <c r="D321" s="1574"/>
      <c r="E321" s="1574">
        <v>1758</v>
      </c>
      <c r="F321" s="1574"/>
      <c r="G321" s="1574"/>
      <c r="H321" s="1574"/>
      <c r="I321" s="1574"/>
      <c r="J321" s="1574"/>
      <c r="K321" s="1672">
        <f t="shared" si="24"/>
        <v>1758</v>
      </c>
      <c r="L321" s="1574">
        <v>1760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13585</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23495</v>
      </c>
      <c r="D325" s="1574">
        <v>3802</v>
      </c>
      <c r="E325" s="1574"/>
      <c r="F325" s="1574"/>
      <c r="G325" s="1574"/>
      <c r="H325" s="1574"/>
      <c r="I325" s="1574"/>
      <c r="J325" s="1574"/>
      <c r="K325" s="1672">
        <f t="shared" si="24"/>
        <v>27297</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28000</v>
      </c>
      <c r="M326" s="539"/>
      <c r="N326" s="539"/>
    </row>
    <row r="327" spans="1:14" s="548" customFormat="1" x14ac:dyDescent="0.2">
      <c r="A327" s="1289" t="s">
        <v>965</v>
      </c>
      <c r="B327" s="567" t="s">
        <v>287</v>
      </c>
      <c r="C327" s="1574"/>
      <c r="D327" s="1574"/>
      <c r="E327" s="1574">
        <v>2775</v>
      </c>
      <c r="F327" s="1574"/>
      <c r="G327" s="1574"/>
      <c r="H327" s="1574"/>
      <c r="I327" s="1574"/>
      <c r="J327" s="1574"/>
      <c r="K327" s="1672">
        <f t="shared" si="24"/>
        <v>2775</v>
      </c>
      <c r="L327" s="1574">
        <v>2775</v>
      </c>
      <c r="M327" s="539"/>
      <c r="N327" s="539"/>
    </row>
    <row r="328" spans="1:14" s="548" customFormat="1" x14ac:dyDescent="0.2">
      <c r="A328" s="1290" t="s">
        <v>469</v>
      </c>
      <c r="B328" s="562" t="s">
        <v>1122</v>
      </c>
      <c r="C328" s="1579"/>
      <c r="D328" s="1579"/>
      <c r="E328" s="1579">
        <f>12315+780</f>
        <v>13095</v>
      </c>
      <c r="F328" s="1579"/>
      <c r="G328" s="1579"/>
      <c r="H328" s="1579"/>
      <c r="I328" s="1579"/>
      <c r="J328" s="1579"/>
      <c r="K328" s="1713">
        <f>SUM(C328:J328)</f>
        <v>13095</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23495</v>
      </c>
      <c r="D330" s="1674">
        <f t="shared" ref="D330:J330" si="25">SUM(D319:D329)</f>
        <v>3802</v>
      </c>
      <c r="E330" s="1674">
        <f t="shared" si="25"/>
        <v>26830</v>
      </c>
      <c r="F330" s="1674">
        <f t="shared" si="25"/>
        <v>0</v>
      </c>
      <c r="G330" s="1674">
        <f t="shared" si="25"/>
        <v>0</v>
      </c>
      <c r="H330" s="1674">
        <f t="shared" si="25"/>
        <v>0</v>
      </c>
      <c r="I330" s="1674">
        <f t="shared" si="25"/>
        <v>0</v>
      </c>
      <c r="J330" s="1674">
        <f t="shared" si="25"/>
        <v>0</v>
      </c>
      <c r="K330" s="1674">
        <f>SUM(K319:K329)</f>
        <v>54127</v>
      </c>
      <c r="L330" s="1674">
        <f>SUM(L319:L329)</f>
        <v>55322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23495</v>
      </c>
      <c r="D342" s="1674">
        <f>SUM(D330)</f>
        <v>3802</v>
      </c>
      <c r="E342" s="1674">
        <f>SUM(E330)</f>
        <v>26830</v>
      </c>
      <c r="F342" s="1674">
        <f>SUM(F330)</f>
        <v>0</v>
      </c>
      <c r="G342" s="1674">
        <f>SUM(G330)</f>
        <v>0</v>
      </c>
      <c r="H342" s="1674">
        <f>SUM(H330,H334,H340)</f>
        <v>0</v>
      </c>
      <c r="I342" s="1674">
        <f>SUM(I330)</f>
        <v>0</v>
      </c>
      <c r="J342" s="1674">
        <f>SUM(J330)</f>
        <v>0</v>
      </c>
      <c r="K342" s="1674">
        <f>SUM(K330,K334,K340)</f>
        <v>54127</v>
      </c>
      <c r="L342" s="1681">
        <f>SUM(L330,L334,L340,L341)</f>
        <v>55322</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15023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3772</v>
      </c>
      <c r="F349" s="1573"/>
      <c r="G349" s="1573">
        <v>508190</v>
      </c>
      <c r="H349" s="1573"/>
      <c r="I349" s="1574"/>
      <c r="J349" s="1574"/>
      <c r="K349" s="1672">
        <f>SUM(C349:J349)</f>
        <v>511962</v>
      </c>
      <c r="L349" s="1573">
        <v>511962</v>
      </c>
    </row>
    <row r="350" spans="1:14" ht="12.75" customHeight="1" thickBot="1" x14ac:dyDescent="0.25">
      <c r="A350" s="1380" t="s">
        <v>714</v>
      </c>
      <c r="B350" s="1381" t="s">
        <v>35</v>
      </c>
      <c r="C350" s="1674">
        <f>SUM(C348:C349)</f>
        <v>0</v>
      </c>
      <c r="D350" s="1674">
        <f t="shared" ref="D350:L350" si="26">SUM(D348:D349)</f>
        <v>0</v>
      </c>
      <c r="E350" s="1674">
        <f t="shared" si="26"/>
        <v>3772</v>
      </c>
      <c r="F350" s="1674">
        <f t="shared" si="26"/>
        <v>0</v>
      </c>
      <c r="G350" s="1674">
        <f t="shared" si="26"/>
        <v>508190</v>
      </c>
      <c r="H350" s="1674">
        <f t="shared" si="26"/>
        <v>0</v>
      </c>
      <c r="I350" s="1674">
        <f t="shared" si="26"/>
        <v>0</v>
      </c>
      <c r="J350" s="1674">
        <f t="shared" si="26"/>
        <v>0</v>
      </c>
      <c r="K350" s="1674">
        <f t="shared" si="26"/>
        <v>511962</v>
      </c>
      <c r="L350" s="1674">
        <f t="shared" si="26"/>
        <v>511962</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3772</v>
      </c>
      <c r="F352" s="1674">
        <f t="shared" si="27"/>
        <v>0</v>
      </c>
      <c r="G352" s="1674">
        <f t="shared" si="27"/>
        <v>508190</v>
      </c>
      <c r="H352" s="1674">
        <f t="shared" si="27"/>
        <v>0</v>
      </c>
      <c r="I352" s="1674">
        <f t="shared" si="27"/>
        <v>0</v>
      </c>
      <c r="J352" s="1674">
        <f t="shared" si="27"/>
        <v>0</v>
      </c>
      <c r="K352" s="1674">
        <f t="shared" si="27"/>
        <v>511962</v>
      </c>
      <c r="L352" s="1674">
        <f t="shared" si="27"/>
        <v>511962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3772</v>
      </c>
      <c r="F367" s="1674">
        <f t="shared" si="28"/>
        <v>0</v>
      </c>
      <c r="G367" s="1674">
        <f t="shared" si="28"/>
        <v>508190</v>
      </c>
      <c r="H367" s="1674">
        <f t="shared" si="28"/>
        <v>0</v>
      </c>
      <c r="I367" s="1674">
        <f t="shared" si="28"/>
        <v>0</v>
      </c>
      <c r="J367" s="1674">
        <f t="shared" si="28"/>
        <v>0</v>
      </c>
      <c r="K367" s="1674">
        <f t="shared" si="28"/>
        <v>511962</v>
      </c>
      <c r="L367" s="1674">
        <f t="shared" si="28"/>
        <v>511962</v>
      </c>
    </row>
    <row r="368" spans="1:14" ht="13.5" thickTop="1" x14ac:dyDescent="0.2">
      <c r="A368" s="2286" t="s">
        <v>989</v>
      </c>
      <c r="B368" s="2287"/>
      <c r="C368" s="1694"/>
      <c r="D368" s="1694"/>
      <c r="E368" s="1677"/>
      <c r="F368" s="1677"/>
      <c r="G368" s="1677"/>
      <c r="H368" s="1677"/>
      <c r="I368" s="1677"/>
      <c r="J368" s="1676"/>
      <c r="K368" s="1672">
        <f>'Revenues 9-14'!K268-'Expenditures 15-22'!K367</f>
        <v>-489540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sharepoint/v3"/>
    <ds:schemaRef ds:uri="6ce3111e-7420-4802-b50a-75d4e9a0b980"/>
    <ds:schemaRef ds:uri="http://schemas.microsoft.com/office/2006/documentManagement/types"/>
    <ds:schemaRef ds:uri="d21dc803-237d-4c68-8692-8d731fd29118"/>
    <ds:schemaRef ds:uri="http://schemas.microsoft.com/office/2006/metadata/properties"/>
    <ds:schemaRef ds:uri="http://purl.org/dc/terms/"/>
    <ds:schemaRef ds:uri="http://purl.org/dc/elements/1.1/"/>
    <ds:schemaRef ds:uri="4d435f69-8686-490b-bd6d-b153bf22ab50"/>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2020-09-16T18:34:23Z</cp:lastPrinted>
  <dcterms:created xsi:type="dcterms:W3CDTF">2003-10-29T19:06:34Z</dcterms:created>
  <dcterms:modified xsi:type="dcterms:W3CDTF">2020-10-05T12:56:58Z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