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1B76EBC-B810-4B20-8814-E252826FFC3B}" xr6:coauthVersionLast="36" xr6:coauthVersionMax="36" xr10:uidLastSave="{00000000-0000-0000-0000-000000000000}"/>
  <bookViews>
    <workbookView xWindow="28680" yWindow="-120" windowWidth="2424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4" l="1"/>
  <c r="G39" i="3"/>
  <c r="M19" i="3" l="1"/>
  <c r="M61" i="184"/>
  <c r="D8" i="11" l="1"/>
  <c r="D10" i="11"/>
  <c r="J31" i="8" l="1"/>
  <c r="E323" i="29" l="1"/>
  <c r="C49" i="29"/>
  <c r="E49" i="29"/>
  <c r="F44" i="29"/>
  <c r="E38" i="29"/>
  <c r="C96" i="5"/>
  <c r="C79" i="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3" i="183" l="1"/>
  <c r="F32" i="183"/>
  <c r="F31" i="183"/>
  <c r="F30" i="183"/>
  <c r="F29" i="183"/>
  <c r="F28" i="183"/>
  <c r="F27" i="183"/>
  <c r="F26" i="183"/>
  <c r="F25" i="183"/>
  <c r="F24" i="183"/>
  <c r="F23" i="183"/>
  <c r="F22" i="183"/>
  <c r="F21" i="183"/>
  <c r="F20" i="183"/>
  <c r="E33" i="183"/>
  <c r="E32" i="183"/>
  <c r="E31" i="183"/>
  <c r="E30" i="183"/>
  <c r="E29" i="183"/>
  <c r="E28" i="183"/>
  <c r="E27" i="183"/>
  <c r="E26" i="183"/>
  <c r="E25" i="183"/>
  <c r="E24" i="183"/>
  <c r="E23" i="183"/>
  <c r="E22" i="183"/>
  <c r="E21" i="183"/>
  <c r="E20" i="183"/>
  <c r="E19" i="183"/>
  <c r="F19" i="183" s="1"/>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34" i="183" l="1"/>
  <c r="A15" i="183"/>
  <c r="D82" i="36" l="1"/>
  <c r="F34" i="183"/>
  <c r="E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D69" i="36" l="1"/>
  <c r="H33" i="118"/>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H19" i="184" s="1"/>
  <c r="L20" i="184" s="1"/>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N23" i="3" l="1"/>
  <c r="B284" i="106" s="1"/>
  <c r="D284" i="106" s="1"/>
  <c r="L114" i="29"/>
  <c r="H77" i="4"/>
  <c r="B3299" i="106" s="1"/>
  <c r="D3299" i="106" s="1"/>
  <c r="B1381" i="106"/>
  <c r="D1381" i="106" s="1"/>
  <c r="F41" i="108"/>
  <c r="G43" i="108" s="1"/>
  <c r="B5527" i="106"/>
  <c r="D5527" i="106" s="1"/>
  <c r="B6216" i="106"/>
  <c r="D6216" i="106" s="1"/>
  <c r="D44" i="36"/>
  <c r="L16" i="11"/>
  <c r="B2061" i="106" s="1"/>
  <c r="D2061" i="106" s="1"/>
  <c r="K342" i="29"/>
  <c r="F13" i="34" s="1"/>
  <c r="G170" i="5"/>
  <c r="B5778" i="106" s="1"/>
  <c r="D5778" i="106" s="1"/>
  <c r="N57" i="184"/>
  <c r="N68" i="184" s="1"/>
  <c r="E68" i="184"/>
  <c r="E19" i="184"/>
  <c r="E367" i="29"/>
  <c r="B3635" i="106"/>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B2567" i="106"/>
  <c r="D2567" i="106" s="1"/>
  <c r="F8" i="4" l="1"/>
  <c r="F10" i="4" s="1"/>
  <c r="B4125" i="106" s="1"/>
  <c r="D4125" i="106"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<sst xmlns="http://schemas.openxmlformats.org/spreadsheetml/2006/main" count="5144" uniqueCount="2082">
  <si>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</si>
  <si>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</si>
  <si>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</si>
  <si>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</si>
  <si>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</si>
  <si>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</si>
  <si>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</si>
  <si>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</si>
  <si>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</si>
  <si>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</si>
  <si>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</si>
  <si>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</si>
  <si>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</si>
  <si>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</si>
  <si>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</si>
  <si>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</si>
  <si>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</si>
  <si>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</si>
  <si>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</si>
  <si>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</si>
  <si>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</si>
  <si>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</si>
  <si>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</si>
  <si>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</si>
  <si>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</si>
  <si>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</si>
  <si>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</si>
  <si>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</si>
  <si>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</si>
  <si>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</si>
  <si>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</si>
  <si>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</si>
  <si>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</si>
  <si>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</si>
  <si>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</si>
  <si>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</si>
  <si>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</si>
  <si>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</si>
  <si>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</si>
  <si>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</si>
  <si>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</si>
  <si>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</si>
  <si>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</si>
  <si>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</si>
  <si>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</si>
  <si>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</si>
  <si>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</si>
  <si>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</si>
  <si>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</si>
  <si>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</si>
  <si>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</si>
  <si>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</si>
  <si>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</si>
  <si>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</si>
  <si>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</si>
  <si>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</si>
  <si>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</si>
  <si>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</si>
  <si>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</si>
  <si>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</si>
  <si>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</si>
  <si>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</si>
  <si>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</si>
  <si>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</si>
  <si>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</si>
  <si>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</si>
  <si>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</si>
  <si>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</si>
  <si>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</si>
  <si>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</si>
  <si>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</si>
  <si>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</si>
  <si>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</si>
  <si>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</si>
  <si>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</si>
  <si>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</si>
  <si>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</si>
  <si>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</si>
  <si>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</si>
  <si>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</si>
  <si>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</si>
  <si>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</si>
  <si>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</si>
  <si>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</si>
  <si>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</si>
  <si>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</si>
  <si>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</si>
  <si>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</si>
  <si>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</si>
  <si>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</si>
  <si>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</si>
  <si>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</si>
  <si>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</si>
  <si>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</si>
  <si>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</si>
  <si>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</si>
  <si>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</si>
  <si>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</si>
  <si>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</si>
  <si>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</si>
  <si>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</si>
  <si>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</si>
  <si>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</si>
  <si>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</si>
  <si>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</si>
  <si>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</si>
  <si>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</si>
  <si>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</si>
  <si>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</si>
  <si>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</si>
  <si>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</si>
  <si>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</si>
  <si>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</si>
  <si>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</si>
  <si>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</si>
  <si>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</si>
  <si>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</si>
  <si>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</si>
  <si>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</si>
  <si>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</si>
  <si>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</si>
  <si>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</si>
  <si>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</si>
  <si>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</si>
  <si>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</si>
  <si>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</si>
  <si>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</si>
  <si>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</si>
  <si>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</si>
  <si>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</si>
  <si>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</si>
  <si>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</si>
  <si>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</si>
  <si>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</si>
  <si>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</si>
  <si>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</si>
  <si>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</si>
  <si>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</si>
  <si>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</si>
  <si>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</si>
  <si>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</si>
  <si>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</si>
  <si>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</si>
  <si>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</si>
  <si>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</si>
  <si>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</si>
  <si>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</si>
  <si>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</si>
  <si>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</si>
  <si>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</si>
  <si>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</si>
  <si>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</si>
  <si>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</si>
  <si>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</si>
  <si>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</si>
  <si>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</si>
  <si>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</si>
  <si>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</si>
  <si>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</si>
  <si>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</si>
  <si>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</si>
  <si>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</si>
  <si>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</si>
  <si>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</si>
  <si>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</si>
  <si>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</si>
  <si>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</si>
  <si>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</si>
  <si>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</si>
  <si>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</si>
  <si>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</si>
  <si>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</si>
  <si>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</si>
  <si>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</si>
  <si>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</si>
  <si>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</si>
  <si>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</si>
  <si>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</si>
  <si>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</si>
  <si>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</si>
  <si>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</si>
  <si>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</si>
  <si>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</si>
  <si>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</si>
  <si>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</si>
  <si>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</si>
  <si>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</si>
  <si>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</si>
  <si>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</si>
  <si>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</si>
  <si>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</si>
  <si>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</si>
  <si>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</si>
  <si>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</si>
  <si>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</si>
  <si>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</si>
  <si>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</si>
  <si>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</si>
  <si>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</si>
  <si>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</si>
  <si>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</si>
  <si>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</si>
  <si>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</si>
  <si>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</si>
  <si>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</si>
  <si>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</si>
  <si>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</si>
  <si>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</si>
  <si>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</si>
  <si>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</si>
  <si>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</si>
  <si>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</si>
  <si>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</si>
  <si>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</si>
  <si>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</si>
  <si>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</si>
  <si>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</si>
  <si>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</si>
  <si>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</si>
  <si>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</si>
  <si>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</si>
  <si>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</si>
  <si>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</si>
  <si>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</si>
  <si>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</si>
  <si>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</si>
  <si>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</si>
  <si>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</si>
  <si>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</si>
  <si>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</si>
  <si>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</si>
  <si>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</si>
  <si>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</si>
  <si>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</si>
  <si>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</si>
  <si>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</si>
  <si>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</si>
  <si>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</si>
  <si>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</si>
  <si>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</si>
  <si>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</si>
  <si>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</si>
  <si>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</si>
  <si>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</si>
  <si>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</si>
  <si>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</si>
  <si>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</si>
  <si>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</si>
  <si>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</si>
  <si>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</si>
  <si>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</si>
  <si>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</si>
  <si>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</si>
  <si>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</si>
  <si>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</si>
  <si>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</si>
  <si>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</si>
  <si>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</si>
  <si>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</si>
  <si>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</si>
  <si>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</si>
  <si>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</si>
  <si>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</si>
  <si>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</si>
  <si>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</si>
  <si>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</si>
  <si>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</si>
  <si>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</si>
  <si>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</si>
  <si>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</si>
  <si>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</si>
  <si>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</si>
  <si>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</si>
  <si>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</si>
  <si>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</si>
  <si>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</si>
  <si>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</si>
  <si>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</si>
  <si>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</si>
  <si>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</si>
  <si>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</si>
  <si>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</si>
  <si>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</si>
  <si>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</si>
  <si>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</si>
  <si>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</si>
  <si>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</si>
  <si>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</si>
  <si>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</si>
  <si>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</si>
  <si>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</si>
  <si>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</si>
  <si>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</si>
  <si>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</si>
  <si>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</si>
  <si>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</si>
  <si>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</si>
  <si>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</si>
  <si>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</si>
  <si>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</si>
  <si>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</si>
  <si>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</si>
  <si>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</si>
  <si>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</si>
  <si>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</si>
  <si>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</si>
  <si>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</si>
  <si>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</si>
  <si>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</si>
  <si>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</si>
  <si>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</si>
  <si>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</si>
  <si>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</si>
  <si>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</si>
  <si>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</si>
  <si>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</si>
  <si>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</si>
  <si>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</si>
  <si>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</si>
  <si>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</si>
  <si>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</si>
  <si>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</si>
  <si>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</si>
  <si>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</si>
  <si>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</si>
  <si>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</si>
  <si>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</si>
  <si>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</si>
  <si>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</si>
  <si>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</si>
  <si>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</si>
  <si>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</si>
  <si>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</si>
  <si>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</si>
  <si>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</si>
  <si>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</si>
  <si>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</si>
  <si>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</si>
  <si>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</si>
  <si>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</si>
  <si>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</si>
  <si>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</si>
  <si>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</si>
  <si>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</si>
  <si>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</si>
  <si>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</si>
  <si>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</si>
  <si>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</si>
  <si>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</si>
  <si>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</si>
  <si>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</si>
  <si>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</si>
  <si>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</si>
  <si>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</si>
  <si>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</si>
  <si>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</si>
  <si>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</si>
  <si>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</si>
  <si>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</si>
  <si>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</si>
  <si>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</si>
  <si>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</si>
  <si>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</si>
  <si>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</si>
  <si>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</si>
  <si>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</si>
  <si>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</si>
  <si>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</si>
  <si>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</si>
  <si>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</si>
  <si>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</si>
  <si>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</si>
  <si>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</si>
  <si>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</si>
  <si>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</si>
  <si>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</si>
  <si>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</si>
  <si>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</si>
  <si>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</si>
  <si>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</si>
  <si>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</si>
  <si>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</si>
  <si>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</si>
  <si>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</si>
  <si>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</si>
  <si>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</si>
  <si>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</si>
  <si>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</si>
  <si>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</si>
  <si>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</si>
  <si>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</si>
  <si>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</si>
  <si>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</si>
  <si>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</si>
  <si>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</si>
  <si>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</si>
  <si>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</si>
  <si>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</si>
  <si>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</si>
  <si>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</si>
  <si>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</si>
  <si>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</si>
  <si>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</si>
  <si>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</si>
  <si>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</si>
  <si>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</si>
  <si>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</si>
  <si>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</si>
  <si>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</si>
  <si>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</si>
  <si>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</si>
  <si>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</si>
  <si>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</si>
  <si>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</si>
  <si>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</si>
  <si>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</si>
  <si>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</si>
  <si>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</si>
  <si>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</si>
  <si>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</si>
  <si>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</si>
  <si>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</si>
  <si>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</si>
  <si>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</si>
  <si>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</si>
  <si>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</si>
  <si>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</si>
  <si>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</si>
  <si>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</si>
  <si>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</si>
  <si>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</si>
  <si>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</si>
  <si>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</si>
  <si>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</si>
  <si>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</si>
  <si>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</si>
  <si>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</si>
  <si>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</si>
  <si>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</si>
  <si>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</si>
  <si>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</si>
  <si>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</si>
  <si>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</si>
  <si>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</si>
  <si>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</si>
  <si>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</si>
  <si>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</si>
  <si>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</si>
  <si>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</si>
  <si>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</si>
  <si>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</si>
  <si>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</si>
  <si>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</si>
  <si>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</si>
  <si>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</si>
  <si>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</si>
  <si>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</si>
  <si>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</si>
  <si>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</si>
  <si>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</si>
  <si>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</si>
  <si>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</si>
  <si>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</si>
  <si>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</si>
  <si>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</si>
  <si>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</si>
  <si>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</si>
  <si>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</si>
  <si>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</si>
  <si>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</si>
  <si>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</si>
  <si>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</si>
  <si>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</si>
  <si>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</si>
  <si>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</si>
  <si>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</si>
  <si>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</si>
  <si>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</si>
  <si>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</si>
  <si>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</si>
  <si>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</si>
  <si>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</si>
  <si>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</si>
  <si>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</si>
  <si>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</si>
  <si>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</si>
  <si>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</si>
  <si>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</si>
  <si>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</si>
  <si>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</si>
  <si>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</si>
  <si>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</si>
  <si>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</si>
  <si>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</si>
  <si>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</si>
  <si>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</si>
  <si>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</si>
  <si>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</si>
  <si>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</si>
  <si>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</si>
  <si>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</si>
  <si>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</si>
  <si>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</si>
  <si>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</si>
  <si>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</si>
  <si>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</si>
  <si>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</si>
  <si>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</si>
  <si>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</si>
  <si>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</si>
  <si>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</si>
  <si>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</si>
  <si>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</si>
  <si>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</si>
  <si>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</si>
  <si>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</si>
  <si>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</si>
  <si>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</si>
  <si>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</si>
  <si>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</si>
  <si>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</si>
  <si>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</si>
  <si>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</si>
  <si>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</si>
  <si>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</si>
  <si>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</si>
  <si>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</si>
  <si>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</si>
  <si>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</si>
  <si>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</si>
  <si>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</si>
  <si>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</si>
  <si>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</si>
  <si>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</si>
  <si>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</si>
  <si>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</si>
  <si>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</si>
  <si>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</si>
  <si>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</si>
  <si>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</si>
  <si>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</si>
  <si>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</si>
  <si>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</si>
  <si>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</si>
  <si>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</si>
  <si>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</si>
  <si>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</si>
  <si>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</si>
  <si>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</si>
  <si>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</si>
  <si>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</si>
  <si>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</si>
  <si>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</si>
  <si>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</si>
  <si>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</si>
  <si>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</si>
  <si>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</si>
  <si>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</si>
  <si>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</si>
  <si>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</si>
  <si>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</si>
  <si>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</si>
  <si>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</si>
  <si>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</si>
  <si>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</si>
  <si>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</si>
  <si>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</si>
  <si>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</si>
  <si>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</si>
  <si>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</si>
  <si>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</si>
  <si>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</si>
  <si>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</si>
  <si>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</si>
  <si>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</si>
  <si>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</si>
  <si>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</si>
  <si>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</si>
  <si>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</si>
  <si>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</si>
  <si>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</si>
  <si>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</si>
  <si>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</si>
  <si>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</si>
  <si>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</si>
  <si>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</si>
  <si>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</si>
  <si>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</si>
  <si>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</si>
  <si>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</si>
  <si>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</si>
  <si>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</si>
  <si>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</si>
  <si>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</si>
  <si>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</si>
  <si>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</si>
  <si>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</si>
  <si>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</si>
  <si>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</si>
  <si>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</si>
  <si>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</si>
  <si>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</si>
  <si>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</si>
  <si>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</si>
  <si>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</si>
  <si>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</si>
  <si>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</si>
  <si>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</si>
  <si>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</si>
  <si>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</si>
  <si>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</si>
  <si>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</si>
  <si>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</si>
  <si>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</si>
  <si>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</si>
  <si>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</si>
  <si>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</si>
  <si>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</si>
  <si>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</si>
  <si>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</si>
  <si>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</si>
  <si>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</si>
  <si>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</si>
  <si>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</si>
  <si>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</si>
  <si>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</si>
  <si>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</si>
  <si>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</si>
  <si>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</si>
  <si>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</si>
  <si>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</si>
  <si>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</si>
  <si>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</si>
  <si>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</si>
  <si>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</si>
  <si>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</si>
  <si>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</si>
  <si>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</si>
  <si>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</si>
  <si>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</si>
  <si>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</si>
  <si>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</si>
  <si>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</si>
  <si>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</si>
  <si>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</si>
  <si>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</si>
  <si>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</si>
  <si>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</si>
  <si>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</si>
  <si>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</si>
  <si>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</si>
  <si>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</si>
  <si>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</si>
  <si>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</si>
  <si>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</si>
  <si>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</si>
  <si>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</si>
  <si>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</si>
  <si>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</si>
  <si>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</si>
  <si>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</si>
  <si>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</si>
  <si>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</si>
  <si>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</si>
  <si>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</si>
  <si>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</si>
  <si>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</si>
  <si>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</si>
  <si>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</si>
  <si>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</si>
  <si>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</si>
  <si>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</si>
  <si>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</si>
  <si>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</si>
  <si>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</si>
  <si>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</si>
  <si>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</si>
  <si>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</si>
  <si>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</si>
  <si>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</si>
  <si>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</si>
  <si>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</si>
  <si>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</si>
  <si>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</si>
  <si>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</si>
  <si>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</si>
  <si>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</si>
  <si>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</si>
  <si>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</si>
  <si>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</si>
  <si>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</si>
  <si>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</si>
  <si>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</si>
  <si>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</si>
  <si>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</si>
  <si>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</si>
  <si>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</si>
  <si>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</si>
  <si>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</si>
  <si>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</si>
  <si>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</si>
  <si>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</si>
  <si>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</si>
  <si>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</si>
  <si>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</si>
  <si>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</si>
  <si>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</si>
  <si>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</si>
  <si>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</si>
  <si>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</si>
  <si>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</si>
  <si>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</si>
  <si>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</si>
  <si>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</si>
  <si>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</si>
  <si>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</si>
  <si>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</si>
  <si>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</si>
  <si>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</si>
  <si>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</si>
  <si>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</si>
  <si>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</si>
  <si>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</si>
  <si>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</si>
  <si>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</si>
  <si>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</si>
  <si>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</si>
  <si>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</si>
  <si>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</si>
  <si>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</si>
  <si>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</si>
  <si>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</si>
  <si>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</si>
  <si>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</si>
  <si>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</si>
  <si>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</si>
  <si>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</si>
  <si>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</si>
  <si>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</si>
  <si>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</si>
  <si>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</si>
  <si>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</si>
  <si>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</si>
  <si>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</si>
  <si>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</si>
  <si>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</si>
  <si>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</si>
  <si>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</si>
  <si>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</si>
  <si>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</si>
  <si>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</si>
  <si>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</si>
  <si>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</si>
  <si>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</si>
  <si>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</si>
  <si>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</si>
  <si>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</si>
  <si>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</si>
  <si>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</si>
  <si>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</si>
  <si>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</si>
  <si>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</si>
  <si>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</si>
  <si>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</si>
  <si>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</si>
  <si>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</si>
  <si>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</si>
  <si>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</si>
  <si>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</si>
  <si>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</si>
  <si>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</si>
  <si>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</si>
  <si>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</si>
  <si>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</si>
  <si>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</si>
  <si>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</si>
  <si>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</si>
  <si>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</si>
  <si>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</si>
  <si>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</si>
  <si>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</si>
  <si>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</si>
  <si>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</si>
  <si>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</si>
  <si>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</si>
  <si>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</si>
  <si>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</si>
  <si>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</si>
  <si>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</si>
  <si>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</si>
  <si>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</si>
  <si>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</si>
  <si>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</si>
  <si>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</si>
  <si>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</si>
  <si>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</si>
  <si>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</si>
  <si>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</si>
  <si>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</si>
  <si>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</si>
  <si>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</si>
  <si>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</si>
  <si>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</si>
  <si>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</si>
  <si>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</si>
  <si>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</si>
  <si>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</si>
  <si>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</si>
  <si>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</si>
  <si>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</si>
  <si>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</si>
  <si>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</si>
  <si>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</si>
  <si>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</si>
  <si>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</si>
  <si>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</si>
  <si>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</si>
  <si>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</si>
  <si>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</si>
  <si>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</si>
  <si>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</si>
  <si>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</si>
  <si>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</si>
  <si>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</si>
  <si>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</si>
  <si>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</si>
  <si>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</si>
  <si>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</si>
  <si>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</si>
  <si>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</si>
  <si>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</si>
  <si>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</si>
  <si>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</si>
  <si>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</si>
  <si>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</si>
  <si>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</si>
  <si>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</si>
  <si>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</si>
  <si>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</si>
  <si>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</si>
  <si>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</si>
  <si>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</si>
  <si>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</si>
  <si>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</si>
  <si>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</si>
  <si>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</si>
  <si>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</si>
  <si>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</si>
  <si>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</si>
  <si>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</si>
  <si>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</si>
  <si>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</si>
  <si>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</si>
  <si>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</si>
  <si>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</si>
  <si>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</si>
  <si>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</si>
  <si>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</si>
  <si>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</si>
  <si>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</si>
  <si>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</si>
  <si>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</si>
  <si>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</si>
  <si>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</si>
  <si>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</si>
  <si>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</si>
  <si>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</si>
  <si>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</si>
  <si>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</si>
  <si>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</si>
  <si>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</si>
  <si>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</si>
  <si>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</si>
  <si>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</si>
  <si>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</si>
  <si>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</si>
  <si>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</si>
  <si>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</si>
  <si>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</si>
  <si>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</si>
  <si>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</si>
  <si>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</si>
  <si>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</si>
  <si>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</si>
  <si>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</si>
  <si>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</si>
  <si>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</si>
  <si>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</si>
  <si>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</si>
  <si>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</si>
  <si>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</si>
  <si>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</si>
  <si>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</si>
  <si>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</si>
  <si>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</si>
  <si>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</si>
  <si>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</si>
  <si>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</si>
  <si>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</si>
  <si>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</si>
  <si>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</si>
  <si>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</si>
  <si>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</si>
  <si>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</si>
  <si>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</si>
  <si>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</si>
  <si>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</si>
  <si>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</si>
  <si>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</si>
  <si>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</si>
  <si>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</si>
  <si>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</si>
  <si>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</si>
  <si>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</si>
  <si>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</si>
  <si>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</si>
  <si>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</si>
  <si>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</si>
  <si>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</si>
  <si>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</si>
  <si>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</si>
  <si>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</si>
  <si>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</si>
  <si>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</si>
  <si>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</si>
  <si>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</si>
  <si>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</si>
  <si>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</si>
  <si>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</si>
  <si>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</si>
  <si>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</si>
  <si>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</si>
  <si>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</si>
  <si>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</si>
  <si>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</si>
  <si>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</si>
  <si>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</si>
  <si>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</si>
  <si>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</si>
  <si>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</si>
  <si>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</si>
  <si>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</si>
  <si>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</si>
  <si>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</si>
  <si>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</si>
  <si>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</si>
  <si>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</si>
  <si>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</si>
  <si>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</si>
  <si>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</si>
  <si>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</si>
  <si>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</si>
  <si>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</si>
  <si>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</si>
  <si>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</si>
  <si>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</si>
  <si>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</si>
  <si>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</si>
  <si>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</si>
  <si>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</si>
  <si>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</si>
  <si>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</si>
  <si>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</si>
  <si>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</si>
  <si>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</si>
  <si>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</si>
  <si>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</si>
  <si>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</si>
  <si>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</si>
  <si>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</si>
  <si>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</si>
  <si>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</si>
  <si>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</si>
  <si>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</si>
  <si>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</si>
  <si>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</si>
  <si>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</si>
  <si>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</si>
  <si>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</si>
  <si>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</si>
  <si>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</si>
  <si>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</si>
  <si>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</si>
  <si>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</si>
  <si>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</si>
  <si>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</si>
  <si>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</si>
  <si>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</si>
  <si>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</si>
  <si>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</si>
  <si>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</si>
  <si>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</si>
  <si>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</si>
  <si>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</si>
  <si>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</si>
  <si>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</si>
  <si>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</si>
  <si>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</si>
  <si>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</si>
  <si>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</si>
  <si>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</si>
  <si>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</si>
  <si>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</si>
  <si>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</si>
  <si>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</si>
  <si>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</si>
  <si>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</si>
  <si>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</si>
  <si>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</si>
  <si>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</si>
  <si>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</si>
  <si>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</si>
  <si>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</si>
  <si>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</si>
  <si>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</si>
  <si>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</si>
  <si>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</si>
  <si>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</si>
  <si>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</si>
  <si>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</si>
  <si>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</si>
  <si>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</si>
  <si>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</si>
  <si>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</si>
  <si>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</si>
  <si>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</si>
  <si>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</si>
  <si>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</si>
  <si>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</si>
  <si>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</si>
  <si>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</si>
  <si>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</si>
  <si>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</si>
  <si>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</si>
  <si>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</si>
  <si>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</si>
  <si>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</si>
  <si>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</si>
  <si>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</si>
  <si>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</si>
  <si>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</si>
  <si>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</si>
  <si>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</si>
  <si>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</si>
  <si>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</si>
  <si>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</si>
  <si>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</si>
  <si>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</si>
  <si>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</si>
  <si>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</si>
  <si>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</si>
  <si>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</si>
  <si>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</si>
  <si>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</si>
  <si>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</si>
  <si>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</si>
  <si>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</si>
  <si>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</si>
  <si>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</si>
  <si>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</si>
  <si>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</si>
  <si>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</si>
  <si>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</si>
  <si>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</si>
  <si>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</si>
  <si>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</si>
  <si>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</si>
  <si>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</si>
  <si>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</si>
  <si>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</si>
  <si>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</si>
  <si>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</si>
  <si>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</si>
  <si>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</si>
  <si>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</si>
  <si>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</si>
  <si>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</si>
  <si>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</si>
  <si>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</si>
  <si>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</si>
  <si>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</si>
  <si>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</si>
  <si>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</si>
  <si>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</si>
  <si>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</si>
  <si>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</si>
  <si>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</si>
  <si>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</si>
  <si>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</si>
  <si>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</si>
  <si>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</si>
  <si>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</si>
  <si>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</si>
  <si>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</si>
  <si>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</si>
  <si>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</si>
  <si>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</si>
  <si>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</si>
  <si>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</si>
  <si>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</si>
  <si>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</si>
  <si>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</si>
  <si>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</si>
  <si>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</si>
  <si>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</si>
  <si>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</si>
  <si>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</si>
  <si>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</si>
  <si>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</si>
  <si>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</si>
  <si>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</si>
  <si>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</si>
  <si>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</si>
  <si>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</si>
  <si>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</si>
  <si>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</si>
  <si>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</si>
  <si>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</si>
  <si>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</si>
  <si>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</si>
  <si>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</si>
  <si>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</si>
  <si>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</si>
  <si>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</si>
  <si>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</si>
  <si>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</si>
  <si>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</si>
  <si>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</si>
  <si>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</si>
  <si>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</si>
  <si>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</si>
  <si>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</si>
  <si>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</si>
  <si>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</si>
  <si>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</si>
  <si>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</si>
  <si>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</si>
  <si>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</si>
  <si>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</si>
  <si>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</si>
  <si>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</si>
  <si>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</si>
  <si>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</si>
  <si>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</si>
  <si>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</si>
  <si>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</si>
  <si>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</si>
  <si>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</si>
  <si>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</si>
  <si>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</si>
  <si>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</si>
  <si>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</si>
  <si>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</si>
  <si>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</si>
  <si>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</si>
  <si>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</si>
  <si>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</si>
  <si>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</si>
  <si>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</si>
  <si>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</si>
  <si>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</si>
  <si>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</si>
  <si>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</si>
  <si>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</si>
  <si>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</si>
  <si>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</si>
  <si>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</si>
  <si>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</si>
  <si>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</si>
  <si>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</si>
  <si>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</si>
  <si>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</si>
  <si>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</si>
  <si>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</si>
  <si>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</si>
  <si>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</si>
  <si>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</si>
  <si>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</si>
  <si>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</si>
  <si>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</si>
  <si>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</si>
  <si>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</si>
  <si>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</si>
  <si>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</si>
  <si>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</si>
  <si>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</si>
  <si>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</si>
  <si>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</si>
  <si>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</si>
  <si>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</si>
  <si>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</si>
  <si>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</si>
  <si>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</si>
  <si>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</si>
  <si>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</si>
  <si>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</si>
  <si>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</si>
  <si>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</si>
  <si>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</si>
  <si>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</si>
  <si>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</si>
  <si>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</si>
  <si>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</si>
  <si>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</si>
  <si>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</si>
  <si>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</si>
  <si>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</si>
  <si>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</si>
  <si>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</si>
  <si>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</si>
  <si>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</si>
  <si>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</si>
  <si>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</si>
  <si>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</si>
  <si>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</si>
  <si>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</si>
  <si>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</si>
  <si>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</si>
  <si>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</si>
  <si>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</si>
  <si>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</si>
  <si>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</si>
  <si>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</si>
  <si>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</si>
  <si>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</si>
  <si>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</si>
  <si>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</si>
  <si>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</si>
  <si>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</si>
  <si>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</si>
  <si>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</si>
  <si>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</si>
  <si>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</si>
  <si>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</si>
  <si>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</si>
  <si>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</si>
  <si>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</si>
  <si>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</si>
  <si>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</si>
  <si>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</si>
  <si>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</si>
  <si>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</si>
  <si>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</si>
  <si>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</si>
  <si>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</si>
  <si>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</si>
  <si>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</si>
  <si>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</si>
  <si>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</si>
  <si>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</si>
  <si>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</si>
  <si>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</si>
  <si>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</si>
  <si>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</si>
  <si>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</si>
  <si>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</si>
  <si>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</si>
  <si>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</si>
  <si>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</si>
  <si>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</si>
  <si>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</si>
  <si>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</si>
  <si>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</si>
  <si>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</si>
  <si>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</si>
  <si>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</si>
  <si>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</si>
  <si>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</si>
  <si>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</si>
  <si>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</si>
  <si>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</si>
  <si>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</si>
  <si>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</si>
  <si>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</si>
  <si>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</si>
  <si>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</si>
  <si>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</si>
  <si>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</si>
  <si>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</si>
  <si>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</si>
  <si>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</si>
  <si>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</si>
  <si>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</si>
  <si>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</si>
  <si>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</si>
  <si>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</si>
  <si>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</si>
  <si>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</si>
  <si>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</si>
  <si>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</si>
  <si>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</si>
  <si>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</si>
  <si>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</si>
  <si>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</si>
  <si>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</si>
  <si>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</si>
  <si>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</si>
  <si>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</si>
  <si>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</si>
  <si>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</si>
  <si>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</si>
  <si>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</si>
  <si>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</si>
  <si>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</si>
  <si>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</si>
  <si>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</si>
  <si>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</si>
  <si>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</si>
  <si>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</si>
  <si>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</si>
  <si>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</si>
  <si>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</si>
  <si>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</si>
  <si>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</si>
  <si>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</si>
  <si>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</si>
  <si>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</si>
  <si>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</si>
  <si>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</si>
  <si>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</si>
  <si>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</si>
  <si>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</si>
  <si>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</si>
  <si>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</si>
  <si>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</si>
  <si>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</si>
  <si>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</si>
  <si>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</si>
  <si>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</si>
  <si>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</si>
  <si>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</si>
  <si>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</si>
  <si>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</si>
  <si>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</si>
  <si>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</si>
  <si>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</si>
  <si>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</si>
  <si>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</si>
  <si>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</si>
  <si>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</si>
  <si>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</si>
  <si>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</si>
  <si>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</si>
  <si>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</si>
  <si>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</si>
  <si>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</si>
  <si>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</si>
  <si>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</si>
  <si>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</si>
  <si>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</si>
  <si>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</si>
  <si>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</si>
  <si>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</si>
  <si>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</si>
  <si>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</si>
  <si>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</si>
  <si>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</si>
  <si>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</si>
  <si>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</si>
  <si>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</si>
  <si>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</si>
  <si>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</si>
  <si>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</si>
  <si>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</si>
  <si>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</si>
  <si>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</si>
  <si>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</si>
  <si>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</si>
  <si>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</si>
  <si>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</si>
  <si>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</si>
  <si>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</si>
  <si>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</si>
  <si>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</si>
  <si>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</si>
  <si>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</si>
  <si>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</si>
  <si>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</si>
  <si>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</si>
  <si>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</si>
  <si>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</si>
  <si>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</si>
  <si>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</si>
  <si>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</si>
  <si>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</si>
  <si>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</si>
  <si>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</si>
  <si>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</si>
  <si>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</si>
  <si>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</si>
  <si>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</si>
  <si>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</si>
  <si>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</si>
  <si>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</si>
  <si>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</si>
  <si>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</si>
  <si>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</si>
  <si>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</si>
  <si>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</si>
  <si>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</si>
  <si>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</si>
  <si>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</si>
  <si>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</si>
  <si>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</si>
  <si>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</si>
  <si>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</si>
  <si>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</si>
  <si>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</si>
  <si>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</si>
  <si>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</si>
  <si>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</si>
  <si>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</si>
  <si>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</si>
  <si>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</si>
  <si>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</si>
  <si>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</si>
  <si>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</si>
  <si>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</si>
  <si>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</si>
  <si>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</si>
  <si>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</si>
  <si>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</si>
  <si>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</si>
  <si>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</si>
  <si>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</si>
  <si>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</si>
  <si>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</si>
  <si>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</si>
  <si>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</si>
  <si>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</si>
  <si>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</si>
  <si>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</si>
  <si>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</si>
  <si>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</si>
  <si>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</si>
  <si>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</si>
  <si>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</si>
  <si>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</si>
  <si>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</si>
  <si>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</si>
  <si>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</si>
  <si>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</si>
  <si>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</si>
  <si>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</si>
  <si>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</si>
  <si>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</si>
  <si>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</si>
  <si>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</si>
  <si>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</si>
  <si>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</si>
  <si>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</si>
  <si>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</si>
  <si>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</si>
  <si>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</si>
  <si>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</si>
  <si>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</si>
  <si>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</si>
  <si>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</si>
  <si>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</si>
  <si>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</si>
  <si>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</si>
  <si>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</si>
  <si>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</si>
  <si>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</si>
  <si>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</si>
  <si>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</si>
  <si>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</si>
  <si>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</si>
  <si>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</si>
  <si>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</si>
  <si>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</si>
  <si>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</si>
  <si>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</si>
  <si>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</si>
  <si>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</si>
  <si>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</si>
  <si>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</si>
  <si>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</si>
  <si>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</si>
  <si>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</si>
  <si>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</si>
  <si>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</si>
  <si>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</si>
  <si>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</si>
  <si>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</si>
  <si>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</si>
  <si>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</si>
  <si>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</si>
  <si>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</si>
  <si>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</si>
  <si>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</si>
  <si>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</si>
  <si>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</si>
  <si>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</si>
  <si>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</si>
  <si>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</si>
  <si>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</si>
  <si>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</si>
  <si>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</si>
  <si>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</si>
  <si>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</si>
  <si>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</si>
  <si>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</si>
  <si>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</si>
  <si>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</si>
  <si>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</si>
  <si>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</si>
  <si>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</si>
  <si>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</si>
  <si>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</si>
  <si>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</si>
  <si>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</si>
  <si>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</si>
  <si>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</si>
  <si>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</si>
  <si>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</si>
  <si>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</si>
  <si>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</si>
  <si>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</si>
  <si>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</si>
  <si>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</si>
  <si>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</si>
  <si>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</si>
  <si>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</si>
  <si>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</si>
  <si>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</si>
  <si>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</si>
  <si>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</si>
  <si>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</si>
  <si>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</si>
  <si>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</si>
  <si>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</si>
  <si>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</si>
  <si>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</si>
  <si>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</si>
  <si>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</si>
  <si>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</si>
  <si>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</si>
  <si>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</si>
  <si>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</si>
  <si>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</si>
  <si>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</si>
  <si>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</si>
  <si>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</si>
  <si>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</si>
  <si>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</si>
  <si>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</si>
  <si>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</si>
  <si>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</si>
  <si>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</si>
  <si>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</si>
  <si>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</si>
  <si>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</si>
  <si>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</si>
  <si>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</si>
  <si>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</si>
  <si>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</si>
  <si>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</si>
  <si>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</si>
  <si>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</si>
  <si>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</si>
  <si>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</si>
  <si>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</si>
  <si>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</si>
  <si>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</si>
  <si>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</si>
  <si>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</si>
  <si>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</si>
  <si>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</si>
  <si>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</si>
  <si>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</si>
  <si>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</si>
  <si>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</si>
  <si>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</si>
  <si>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</si>
  <si>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</si>
  <si>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</si>
  <si>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</si>
  <si>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</si>
  <si>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</si>
  <si>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</si>
  <si>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</si>
  <si>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</si>
  <si>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</si>
  <si>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</si>
  <si>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</si>
  <si>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</si>
  <si>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</si>
  <si>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</si>
  <si>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</si>
  <si>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</si>
  <si>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</si>
  <si>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</si>
  <si>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</si>
  <si>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</si>
  <si>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</si>
  <si>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</si>
  <si>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</si>
  <si>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</si>
  <si>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</si>
  <si>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</si>
  <si>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</si>
  <si>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</si>
  <si>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</si>
  <si>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</si>
  <si>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</si>
  <si>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</si>
  <si>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</si>
  <si>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</si>
  <si>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</si>
  <si>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</si>
  <si>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</si>
  <si>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</si>
  <si>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</si>
  <si>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</si>
  <si>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</si>
  <si>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</si>
  <si>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</si>
  <si>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</si>
  <si>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</si>
  <si>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</si>
  <si>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</si>
  <si>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</si>
  <si>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</si>
  <si>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</si>
  <si>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</si>
  <si>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</si>
  <si>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</si>
  <si>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</si>
  <si>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</si>
  <si>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</si>
  <si>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</si>
  <si>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</si>
  <si>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</si>
  <si>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</si>
  <si>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</si>
  <si>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</si>
  <si>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</si>
  <si>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</si>
  <si>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</si>
  <si>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</si>
  <si>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</si>
  <si>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</si>
  <si>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</si>
  <si>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</si>
  <si>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</si>
  <si>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</si>
  <si>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</si>
  <si>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</si>
  <si>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</si>
  <si>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</si>
  <si>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</si>
  <si>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</si>
  <si>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</si>
  <si>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</si>
  <si>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</si>
  <si>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</si>
  <si>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</si>
  <si>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</si>
  <si>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</si>
  <si>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</si>
  <si>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</si>
  <si>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</si>
  <si>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</si>
  <si>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</si>
  <si>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</si>
  <si>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</si>
  <si>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</si>
  <si>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</si>
  <si>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</si>
  <si>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</si>
  <si>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</si>
  <si>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</si>
  <si>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</si>
  <si>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</si>
  <si>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</si>
  <si>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</si>
  <si>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</si>
  <si>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</si>
  <si>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</si>
  <si>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</si>
  <si>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</si>
  <si>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</si>
  <si>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</si>
  <si>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</si>
  <si>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</si>
  <si>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</si>
  <si>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</si>
  <si>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</si>
  <si>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</si>
  <si>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</si>
  <si>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</si>
  <si>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</si>
  <si>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</si>
  <si>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</si>
  <si>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</si>
  <si>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</si>
  <si>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</si>
  <si>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</si>
  <si>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</si>
  <si>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</si>
  <si>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</si>
  <si>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</si>
  <si>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</si>
  <si>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</si>
  <si>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</si>
  <si>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</si>
  <si>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</si>
  <si>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</si>
  <si>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</si>
  <si>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</si>
  <si>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</si>
  <si>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</si>
  <si>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</si>
  <si>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</si>
  <si>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</si>
  <si>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</si>
  <si>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</si>
  <si>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</si>
  <si>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</si>
  <si>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</si>
  <si>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</si>
  <si>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</si>
  <si>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</si>
  <si>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</si>
  <si>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</si>
  <si>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</si>
  <si>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</si>
  <si>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</si>
  <si>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</si>
  <si>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</si>
  <si>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</si>
  <si>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</si>
  <si>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</si>
  <si>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</si>
  <si>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</si>
  <si>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</si>
  <si>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</si>
  <si>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</si>
  <si>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</si>
  <si>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</si>
  <si>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</si>
  <si>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</si>
  <si>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</si>
  <si>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</si>
  <si>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</si>
  <si>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</si>
  <si>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</si>
  <si>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</si>
  <si>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</si>
  <si>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</si>
  <si>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</si>
  <si>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</si>
  <si>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</si>
  <si>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</si>
  <si>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</si>
  <si>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</si>
  <si>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</si>
  <si>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</si>
  <si>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</si>
  <si>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</si>
  <si>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</si>
  <si>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</si>
  <si>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</si>
  <si>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</si>
  <si>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</si>
  <si>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</si>
  <si>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</si>
  <si>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</si>
  <si>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</si>
  <si>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</si>
  <si>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</si>
  <si>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</si>
  <si>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</si>
  <si>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</si>
  <si>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</si>
  <si>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</si>
  <si>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</si>
  <si>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</si>
  <si>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</si>
  <si>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</si>
  <si>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</si>
  <si>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</si>
  <si>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</si>
  <si>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</si>
  <si>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</si>
  <si>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</si>
  <si>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</si>
  <si>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</si>
  <si>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</si>
  <si>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</si>
  <si>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</si>
  <si>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</si>
  <si>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</si>
  <si>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</si>
  <si>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</si>
  <si>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</si>
  <si>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</si>
  <si>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</si>
  <si>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</si>
  <si>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</si>
  <si>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</si>
  <si>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</si>
  <si>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</si>
  <si>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</si>
  <si>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</si>
  <si>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</si>
  <si>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</si>
  <si>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</si>
  <si>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</si>
  <si>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</si>
  <si>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</si>
  <si>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</si>
  <si>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</si>
  <si>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</si>
  <si>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</si>
  <si>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</si>
  <si>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</si>
  <si>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</si>
  <si>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</si>
  <si>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</si>
  <si>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</si>
  <si>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</si>
  <si>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</si>
  <si>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</si>
  <si>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</si>
  <si>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</si>
  <si>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</si>
  <si>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</si>
  <si>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</si>
  <si>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</si>
  <si>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</si>
  <si>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</si>
  <si>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</si>
  <si>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</si>
  <si>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</si>
  <si>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</si>
  <si>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</si>
  <si>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</si>
  <si>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</si>
  <si>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</si>
  <si>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</si>
  <si>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</si>
  <si>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</si>
  <si>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</si>
  <si>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</si>
  <si>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</si>
  <si>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</si>
  <si>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</si>
  <si>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</si>
  <si>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</si>
  <si>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</si>
  <si>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</si>
  <si>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</si>
  <si>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</si>
  <si>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</si>
  <si>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</si>
  <si>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</si>
  <si>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</si>
  <si>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</si>
  <si>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</si>
  <si>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</si>
  <si>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</si>
  <si>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</si>
  <si>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</si>
  <si>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</si>
  <si>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</si>
  <si>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</si>
  <si>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</si>
  <si>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</si>
  <si>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</si>
  <si>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</si>
  <si>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</si>
  <si>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</si>
  <si>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</si>
  <si>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</si>
  <si>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</si>
  <si>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</si>
  <si>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</si>
  <si>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</si>
  <si>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</si>
  <si>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</si>
  <si>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</si>
  <si>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</si>
  <si>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</si>
  <si>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</si>
  <si>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</si>
  <si>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</si>
  <si>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</si>
  <si>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</si>
  <si>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</si>
  <si>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</si>
  <si>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</si>
  <si>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</si>
  <si>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</si>
  <si>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</si>
  <si>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</si>
  <si>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</si>
  <si>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</si>
  <si>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</si>
  <si>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</si>
  <si>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</si>
  <si>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</si>
  <si>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</si>
  <si>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</si>
  <si>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</si>
  <si>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</si>
  <si>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</si>
  <si>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</si>
  <si>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</si>
  <si>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</si>
  <si>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</si>
  <si>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</si>
  <si>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</si>
  <si>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</si>
  <si>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</si>
  <si>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</si>
  <si>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</si>
  <si>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</si>
  <si>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</si>
  <si>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</si>
  <si>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</si>
  <si>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</si>
  <si>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</si>
  <si>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</si>
  <si>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</si>
  <si>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</si>
  <si>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</si>
  <si>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</si>
  <si>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</si>
  <si>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</si>
  <si>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</si>
  <si>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</si>
  <si>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</si>
  <si>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</si>
  <si>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</si>
  <si>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</si>
  <si>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</si>
  <si>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</si>
  <si>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</si>
  <si>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</si>
  <si>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</si>
  <si>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</si>
  <si>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</si>
  <si>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</si>
  <si>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</si>
  <si>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</si>
  <si>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</si>
  <si>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</si>
  <si>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</si>
  <si>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</si>
  <si>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</si>
  <si>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</si>
  <si>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</si>
  <si>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</si>
  <si>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</si>
  <si>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</si>
  <si>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</si>
  <si>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</si>
  <si>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</si>
  <si>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</si>
  <si>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</si>
  <si>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</si>
  <si>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</si>
  <si>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</si>
  <si>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</si>
  <si>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</si>
  <si>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</si>
  <si>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</si>
  <si>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</si>
  <si>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</si>
  <si>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</si>
  <si>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</si>
  <si>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</si>
  <si>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</si>
  <si>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</si>
  <si>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</si>
  <si>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</si>
  <si>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</si>
  <si>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</si>
  <si>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</si>
  <si>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</si>
  <si>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</si>
  <si>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</si>
  <si>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</si>
  <si>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</si>
  <si>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</si>
  <si>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</si>
  <si>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</si>
  <si>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</si>
  <si>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</si>
  <si>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</si>
  <si>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</si>
  <si>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</si>
  <si>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</si>
  <si>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</si>
  <si>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</si>
  <si>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</si>
  <si>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</si>
  <si>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</si>
  <si>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</si>
  <si>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</si>
  <si>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</si>
  <si>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</si>
  <si>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</si>
  <si>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</si>
  <si>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</si>
  <si>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</si>
  <si>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</si>
  <si>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</si>
  <si>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</si>
  <si>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</si>
  <si>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</si>
  <si>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</si>
  <si>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</si>
  <si>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</si>
  <si>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</si>
  <si>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</si>
  <si>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</si>
  <si>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</si>
  <si>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</si>
  <si>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</si>
  <si>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</si>
  <si>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</si>
  <si>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</si>
  <si>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</si>
  <si>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</si>
  <si>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</si>
  <si>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</si>
  <si>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</si>
  <si>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</si>
  <si>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</si>
  <si>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</si>
  <si>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</si>
  <si>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</si>
  <si>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</si>
  <si>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</si>
  <si>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</si>
  <si>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</si>
  <si>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</si>
  <si>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</si>
  <si>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</si>
  <si>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</si>
  <si>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</si>
  <si>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</si>
  <si>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</si>
  <si>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</si>
  <si>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</si>
  <si>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</si>
  <si>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</si>
  <si>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</si>
  <si>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</si>
  <si>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35-050-1850-04</t>
  </si>
  <si>
    <t>LaSalle</t>
  </si>
  <si>
    <t>Waltham CCSD 185</t>
  </si>
  <si>
    <t>North Utica</t>
  </si>
  <si>
    <t>bkinzer@wesd185.org</t>
  </si>
  <si>
    <t>Kristine Eager</t>
  </si>
  <si>
    <t>keager@wesd185.org</t>
  </si>
  <si>
    <t>815-667-4417</t>
  </si>
  <si>
    <t>815-667-4462</t>
  </si>
  <si>
    <t>Hopkins &amp; Associates, CPAs</t>
  </si>
  <si>
    <t>Kim Bird</t>
  </si>
  <si>
    <t>314 S. McCoy St.</t>
  </si>
  <si>
    <t>Granville</t>
  </si>
  <si>
    <t>IL</t>
  </si>
  <si>
    <t>815-339-6630</t>
  </si>
  <si>
    <t>815-339-6643</t>
  </si>
  <si>
    <t>066-004501</t>
  </si>
  <si>
    <t>kim@hopkinsoffice.com</t>
  </si>
  <si>
    <t>2018 General Obligation Bonds</t>
  </si>
  <si>
    <t>Wallace Elementary School - shared nurse, social worker, psychologist</t>
  </si>
  <si>
    <t>LaSalle Putnam Co Special Ed Coop, Ottawa IL</t>
  </si>
  <si>
    <t>O&amp;M-Plant Maint - PS</t>
  </si>
  <si>
    <t>IL Valley Excavating</t>
  </si>
  <si>
    <t>Other Misc 1999 - Miscellaneous receipts</t>
  </si>
  <si>
    <t>O&amp;M - 4090 - E-Rate $4,644</t>
  </si>
  <si>
    <t>Capital Projects - 8990 Other Uses - $1,500 - Lessor annual fees</t>
  </si>
  <si>
    <t>Ed - 1790 - Yearbook fees , $2,434</t>
  </si>
  <si>
    <t>2902 N IL ROUTE 178</t>
  </si>
  <si>
    <t>O&amp;M - Plant Maint - PS</t>
  </si>
  <si>
    <t>AUCA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</si>
</sst>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857250</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t="s">
        <v>2052</v>
      </c>
      <c r="B13" s="2102"/>
      <c r="C13" s="2102"/>
      <c r="D13" s="2102"/>
      <c r="E13" s="2102"/>
      <c r="F13" s="2102"/>
      <c r="G13" s="2102"/>
      <c r="H13" s="2103"/>
      <c r="I13" s="31"/>
      <c r="J13" s="30"/>
      <c r="K13" s="28"/>
      <c r="L13" s="30"/>
      <c r="M13" s="30"/>
      <c r="N13" s="30"/>
      <c r="O13" s="30"/>
      <c r="P13" s="30"/>
      <c r="Q13" s="30"/>
      <c r="R13" s="30"/>
      <c r="S13" s="30"/>
      <c r="T13" s="2107" t="s">
        <v>2061</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2053</v>
      </c>
      <c r="B15" s="2105"/>
      <c r="C15" s="2105"/>
      <c r="D15" s="2105"/>
      <c r="E15" s="2105"/>
      <c r="F15" s="2105"/>
      <c r="G15" s="2105"/>
      <c r="H15" s="2106"/>
      <c r="T15" s="2111" t="s">
        <v>2062</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2054</v>
      </c>
      <c r="B17" s="2075"/>
      <c r="C17" s="2075"/>
      <c r="D17" s="2075"/>
      <c r="E17" s="2075"/>
      <c r="F17" s="2075"/>
      <c r="G17" s="2075"/>
      <c r="H17" s="2100"/>
      <c r="T17" s="2118" t="s">
        <v>2063</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2079</v>
      </c>
      <c r="B19" s="2060"/>
      <c r="C19" s="2060"/>
      <c r="D19" s="2060"/>
      <c r="E19" s="2060"/>
      <c r="F19" s="2060"/>
      <c r="G19" s="2060"/>
      <c r="H19" s="2040"/>
      <c r="I19" s="30"/>
      <c r="J19" s="96"/>
      <c r="K19" s="40"/>
      <c r="L19" s="38"/>
      <c r="M19" s="109" t="s">
        <v>312</v>
      </c>
      <c r="P19" s="27"/>
      <c r="Q19" s="27"/>
      <c r="R19" s="27"/>
      <c r="S19" s="31"/>
      <c r="T19" s="2104" t="s">
        <v>2064</v>
      </c>
      <c r="U19" s="2039"/>
      <c r="V19" s="2039"/>
      <c r="W19" s="2040"/>
      <c r="X19" s="2116" t="s">
        <v>2065</v>
      </c>
      <c r="Y19" s="2117"/>
      <c r="Z19" s="2114">
        <v>61326</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2055</v>
      </c>
      <c r="B21" s="2039"/>
      <c r="C21" s="2039"/>
      <c r="D21" s="2039"/>
      <c r="E21" s="2039"/>
      <c r="F21" s="2039"/>
      <c r="G21" s="2039"/>
      <c r="H21" s="2040"/>
      <c r="I21" s="2094" t="s">
        <v>673</v>
      </c>
      <c r="J21" s="2089"/>
      <c r="K21" s="2089"/>
      <c r="L21" s="2089"/>
      <c r="M21" s="2089"/>
      <c r="N21" s="2089"/>
      <c r="O21" s="2089"/>
      <c r="P21" s="2089"/>
      <c r="Q21" s="2089"/>
      <c r="R21" s="2089"/>
      <c r="S21" s="2095"/>
      <c r="T21" s="2129" t="s">
        <v>2066</v>
      </c>
      <c r="U21" s="2130"/>
      <c r="V21" s="2130"/>
      <c r="W21" s="2130"/>
      <c r="X21" s="2135" t="s">
        <v>2067</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2056</v>
      </c>
      <c r="B23" s="2092"/>
      <c r="C23" s="2092"/>
      <c r="D23" s="2092"/>
      <c r="E23" s="2092"/>
      <c r="F23" s="2092"/>
      <c r="G23" s="2092"/>
      <c r="H23" s="2093"/>
      <c r="T23" s="2074" t="s">
        <v>2068</v>
      </c>
      <c r="U23" s="2128"/>
      <c r="V23" s="2128"/>
      <c r="W23" s="2128"/>
      <c r="X23" s="2132">
        <v>44530</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61373</v>
      </c>
      <c r="B25" s="2039"/>
      <c r="C25" s="2039"/>
      <c r="D25" s="2039"/>
      <c r="E25" s="2039"/>
      <c r="F25" s="2039"/>
      <c r="G25" s="2039"/>
      <c r="H25" s="2040"/>
      <c r="I25" s="110"/>
      <c r="J25" s="2063"/>
      <c r="K25" s="2063"/>
      <c r="L25" s="2063"/>
      <c r="M25" s="2063"/>
      <c r="N25" s="2063"/>
      <c r="O25" s="2063"/>
      <c r="P25" s="2063"/>
      <c r="Q25" s="2063"/>
      <c r="R25" s="2063"/>
      <c r="S25" s="2064"/>
      <c r="T25" s="2125" t="s">
        <v>2069</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2057</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2058</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2059</v>
      </c>
      <c r="B42" s="2058"/>
      <c r="C42" s="2059"/>
      <c r="D42" s="2057" t="s">
        <v>2060</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1475543</v>
      </c>
      <c r="C4" s="1722"/>
      <c r="D4" s="1723">
        <f>B4-C4</f>
        <v>1475543</v>
      </c>
      <c r="E4" s="1722">
        <v>1615451</v>
      </c>
      <c r="F4" s="1723">
        <f>E4-C4</f>
        <v>1615451</v>
      </c>
    </row>
    <row r="5" spans="1:8" ht="13.7" customHeight="1" x14ac:dyDescent="0.2">
      <c r="A5" s="579" t="s">
        <v>865</v>
      </c>
      <c r="B5" s="1724">
        <f>'Revenues 9-14'!D5</f>
        <v>185370</v>
      </c>
      <c r="C5" s="1664"/>
      <c r="D5" s="1725">
        <f t="shared" ref="D5:D18" si="0">B5-C5</f>
        <v>185370</v>
      </c>
      <c r="E5" s="1664">
        <v>202946</v>
      </c>
      <c r="F5" s="1725">
        <f>E5-C5</f>
        <v>202946</v>
      </c>
    </row>
    <row r="6" spans="1:8" ht="13.7" customHeight="1" x14ac:dyDescent="0.2">
      <c r="A6" s="579" t="s">
        <v>408</v>
      </c>
      <c r="B6" s="1724">
        <f>'Revenues 9-14'!E5</f>
        <v>144388</v>
      </c>
      <c r="C6" s="1664"/>
      <c r="D6" s="1725">
        <f t="shared" si="0"/>
        <v>144388</v>
      </c>
      <c r="E6" s="1664">
        <v>144075</v>
      </c>
      <c r="F6" s="1725">
        <f t="shared" ref="F6:F18" si="1">E6-C6</f>
        <v>144075</v>
      </c>
    </row>
    <row r="7" spans="1:8" ht="13.7" customHeight="1" x14ac:dyDescent="0.2">
      <c r="A7" s="579" t="s">
        <v>154</v>
      </c>
      <c r="B7" s="1724">
        <f>'Revenues 9-14'!F5</f>
        <v>88977</v>
      </c>
      <c r="C7" s="1664"/>
      <c r="D7" s="1725">
        <f t="shared" si="0"/>
        <v>88977</v>
      </c>
      <c r="E7" s="1664">
        <v>97414</v>
      </c>
      <c r="F7" s="1725">
        <f t="shared" si="1"/>
        <v>97414</v>
      </c>
    </row>
    <row r="8" spans="1:8" ht="13.7" customHeight="1" x14ac:dyDescent="0.2">
      <c r="A8" s="579" t="s">
        <v>1169</v>
      </c>
      <c r="B8" s="1724">
        <f>'Revenues 9-14'!G5</f>
        <v>40084</v>
      </c>
      <c r="C8" s="1664"/>
      <c r="D8" s="1725">
        <f t="shared" si="0"/>
        <v>40084</v>
      </c>
      <c r="E8" s="1664">
        <v>38008</v>
      </c>
      <c r="F8" s="1725">
        <f t="shared" si="1"/>
        <v>38008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37073</v>
      </c>
      <c r="C10" s="1664"/>
      <c r="D10" s="1725">
        <f t="shared" si="0"/>
        <v>37073</v>
      </c>
      <c r="E10" s="1664">
        <v>40589</v>
      </c>
      <c r="F10" s="1725">
        <f t="shared" si="1"/>
        <v>40589</v>
      </c>
    </row>
    <row r="11" spans="1:8" x14ac:dyDescent="0.2">
      <c r="A11" s="579" t="s">
        <v>406</v>
      </c>
      <c r="B11" s="1724">
        <f>'Revenues 9-14'!J5</f>
        <v>221435</v>
      </c>
      <c r="C11" s="1664"/>
      <c r="D11" s="1725">
        <f t="shared" si="0"/>
        <v>221435</v>
      </c>
      <c r="E11" s="1664">
        <v>250005</v>
      </c>
      <c r="F11" s="1725">
        <f t="shared" si="1"/>
        <v>250005</v>
      </c>
    </row>
    <row r="12" spans="1:8" ht="13.7" customHeight="1" x14ac:dyDescent="0.2">
      <c r="A12" s="579" t="s">
        <v>156</v>
      </c>
      <c r="B12" s="1724">
        <f>'Revenues 9-14'!K5</f>
        <v>37073</v>
      </c>
      <c r="C12" s="1664"/>
      <c r="D12" s="1725">
        <f t="shared" si="0"/>
        <v>37073</v>
      </c>
      <c r="E12" s="1664">
        <v>40589</v>
      </c>
      <c r="F12" s="1725">
        <f t="shared" si="1"/>
        <v>40589</v>
      </c>
    </row>
    <row r="13" spans="1:8" ht="13.7" customHeight="1" x14ac:dyDescent="0.2">
      <c r="A13" s="579" t="s">
        <v>930</v>
      </c>
      <c r="B13" s="1724">
        <f>SUM('Revenues 9-14'!C6:D6)</f>
        <v>37073</v>
      </c>
      <c r="C13" s="1664"/>
      <c r="D13" s="1725">
        <f t="shared" si="0"/>
        <v>37073</v>
      </c>
      <c r="E13" s="1664">
        <v>40589</v>
      </c>
      <c r="F13" s="1725">
        <f t="shared" si="1"/>
        <v>40589</v>
      </c>
    </row>
    <row r="14" spans="1:8" ht="13.7" customHeight="1" x14ac:dyDescent="0.2">
      <c r="A14" s="579" t="s">
        <v>407</v>
      </c>
      <c r="B14" s="1724">
        <f>SUM('Revenues 9-14'!C7:D7,'Revenues 9-14'!F7:H7)</f>
        <v>14829</v>
      </c>
      <c r="C14" s="1664"/>
      <c r="D14" s="1725">
        <f t="shared" si="0"/>
        <v>14829</v>
      </c>
      <c r="E14" s="1664">
        <v>16236</v>
      </c>
      <c r="F14" s="1725">
        <f t="shared" si="1"/>
        <v>16236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40084</v>
      </c>
      <c r="C16" s="1664"/>
      <c r="D16" s="1725">
        <f t="shared" si="0"/>
        <v>40084</v>
      </c>
      <c r="E16" s="1664">
        <v>38008</v>
      </c>
      <c r="F16" s="1725">
        <f t="shared" si="1"/>
        <v>38008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2321929</v>
      </c>
      <c r="C19" s="1726">
        <f>SUM(C4:C18)</f>
        <v>0</v>
      </c>
      <c r="D19" s="1726">
        <f>SUM(D4:D18)</f>
        <v>2321929</v>
      </c>
      <c r="E19" s="1726">
        <f>SUM(E4:E18)</f>
        <v>2523910</v>
      </c>
      <c r="F19" s="1726">
        <f>SUM(F4:F18)</f>
        <v>2523910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B19" colorId="8" zoomScale="6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43348</v>
      </c>
      <c r="C31" s="1734">
        <v>9240000</v>
      </c>
      <c r="D31" s="1735">
        <v>1</v>
      </c>
      <c r="E31" s="1734">
        <v>9240000</v>
      </c>
      <c r="F31" s="1734"/>
      <c r="G31" s="1734"/>
      <c r="H31" s="1734">
        <v>125000</v>
      </c>
      <c r="I31" s="1736">
        <f>((E31+F31)-H31)+G31</f>
        <v>9115000</v>
      </c>
      <c r="J31" s="1734">
        <f>9115000-1227551</f>
        <v>7887449</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9240000</v>
      </c>
      <c r="D49" s="1742"/>
      <c r="E49" s="1736">
        <f t="shared" ref="E49:J49" si="2">SUM(E31:E48)</f>
        <v>9240000</v>
      </c>
      <c r="F49" s="1736">
        <f t="shared" si="2"/>
        <v>0</v>
      </c>
      <c r="G49" s="1736">
        <f t="shared" si="2"/>
        <v>0</v>
      </c>
      <c r="H49" s="1736">
        <f t="shared" si="2"/>
        <v>125000</v>
      </c>
      <c r="I49" s="1736">
        <f t="shared" si="2"/>
        <v>9115000</v>
      </c>
      <c r="J49" s="1736">
        <f t="shared" si="2"/>
        <v>7887449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110" zoomScaleNormal="110" workbookViewId="0">
      <selection activeCell="I57" sqref="I5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14829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14829</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14829</v>
      </c>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14829</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294090</v>
      </c>
      <c r="D5" s="1770"/>
      <c r="E5" s="1770"/>
      <c r="F5" s="1765">
        <f>(C5+D5)-E5</f>
        <v>294090</v>
      </c>
      <c r="G5" s="676"/>
      <c r="H5" s="680"/>
      <c r="I5" s="680"/>
      <c r="J5" s="680"/>
      <c r="K5" s="637"/>
      <c r="L5" s="1442">
        <f>F5-K5</f>
        <v>294090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3048390</v>
      </c>
      <c r="D8" s="1771">
        <f>8137118+1103784+138007+13990</f>
        <v>9392899</v>
      </c>
      <c r="E8" s="1771"/>
      <c r="F8" s="1765">
        <f>(C8+D8)-E8</f>
        <v>12441289</v>
      </c>
      <c r="G8" s="681">
        <v>50</v>
      </c>
      <c r="H8" s="619">
        <v>1464312</v>
      </c>
      <c r="I8" s="619">
        <v>256343</v>
      </c>
      <c r="J8" s="619"/>
      <c r="K8" s="1442">
        <f>(H8+I8)-J8</f>
        <v>1720655</v>
      </c>
      <c r="L8" s="1442">
        <f>F8-K8</f>
        <v>10720634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98440</v>
      </c>
      <c r="D10" s="1772">
        <f>15000+11100</f>
        <v>26100</v>
      </c>
      <c r="E10" s="1772"/>
      <c r="F10" s="1773">
        <f>(C10+D10)-E10</f>
        <v>124540</v>
      </c>
      <c r="G10" s="681">
        <v>20</v>
      </c>
      <c r="H10" s="683">
        <v>42563</v>
      </c>
      <c r="I10" s="683">
        <v>6688</v>
      </c>
      <c r="J10" s="683"/>
      <c r="K10" s="1442">
        <f>(H10+I10)-J10</f>
        <v>49251</v>
      </c>
      <c r="L10" s="1442">
        <f>F10-K10</f>
        <v>75289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369453</v>
      </c>
      <c r="D12" s="1771">
        <v>753010</v>
      </c>
      <c r="E12" s="1771"/>
      <c r="F12" s="1765">
        <f>(C12+D12)-E12</f>
        <v>1122463</v>
      </c>
      <c r="G12" s="681">
        <v>10</v>
      </c>
      <c r="H12" s="619">
        <v>360711</v>
      </c>
      <c r="I12" s="619">
        <v>78200</v>
      </c>
      <c r="J12" s="619"/>
      <c r="K12" s="1442">
        <f>(H12+I12)-J12</f>
        <v>438911</v>
      </c>
      <c r="L12" s="1442">
        <f>F12-K12</f>
        <v>683552</v>
      </c>
    </row>
    <row r="13" spans="1:14" ht="14.25" thickTop="1" thickBot="1" x14ac:dyDescent="0.25">
      <c r="A13" s="684" t="s">
        <v>1112</v>
      </c>
      <c r="B13" s="679">
        <v>252</v>
      </c>
      <c r="C13" s="1771">
        <v>274474</v>
      </c>
      <c r="D13" s="1771"/>
      <c r="E13" s="1771"/>
      <c r="F13" s="1765">
        <f>(C13+D13)-E13</f>
        <v>274474</v>
      </c>
      <c r="G13" s="681">
        <v>5</v>
      </c>
      <c r="H13" s="619">
        <v>271814</v>
      </c>
      <c r="I13" s="619">
        <v>2660</v>
      </c>
      <c r="J13" s="619"/>
      <c r="K13" s="1442">
        <f>(H13+I13)-J13</f>
        <v>274474</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8349388</v>
      </c>
      <c r="D15" s="1771"/>
      <c r="E15" s="1771">
        <v>8349388</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12434235</v>
      </c>
      <c r="D16" s="1765">
        <f>SUM(D3,D5:D6,D8:D10,D12:D15)</f>
        <v>10172009</v>
      </c>
      <c r="E16" s="1765">
        <f>SUM(E3,E5:E6,E8:E10,E12:E15)</f>
        <v>8349388</v>
      </c>
      <c r="F16" s="1765">
        <f>SUM(F3,F5:F6,F8:F10,F12:F15)</f>
        <v>14256856</v>
      </c>
      <c r="G16" s="681"/>
      <c r="H16" s="1435">
        <f>SUM(H3,H6,H8:H10,H12:H14,)</f>
        <v>2139400</v>
      </c>
      <c r="I16" s="1435">
        <f>SUM(I3,I6,I8:I10,I12:I14,)</f>
        <v>343891</v>
      </c>
      <c r="J16" s="1435">
        <f>SUM(J3,J6,J8:J10,J12:J14,)</f>
        <v>0</v>
      </c>
      <c r="K16" s="1435">
        <f>(H16+I16)-J16</f>
        <v>2483291</v>
      </c>
      <c r="L16" s="1435">
        <f>F16-K16</f>
        <v>11773565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343891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2201309</v>
      </c>
      <c r="G8" s="701"/>
    </row>
    <row r="9" spans="1:9" x14ac:dyDescent="0.2">
      <c r="A9" s="705" t="s">
        <v>457</v>
      </c>
      <c r="B9" s="706" t="s">
        <v>1848</v>
      </c>
      <c r="C9" s="707"/>
      <c r="D9" s="705" t="s">
        <v>498</v>
      </c>
      <c r="E9" s="704"/>
      <c r="F9" s="1775">
        <f>'Expenditures 15-22'!K151</f>
        <v>297986</v>
      </c>
      <c r="G9" s="708"/>
    </row>
    <row r="10" spans="1:9" x14ac:dyDescent="0.2">
      <c r="A10" s="705" t="s">
        <v>496</v>
      </c>
      <c r="B10" s="706" t="s">
        <v>1849</v>
      </c>
      <c r="C10" s="707"/>
      <c r="D10" s="705" t="s">
        <v>498</v>
      </c>
      <c r="E10" s="704"/>
      <c r="F10" s="1775">
        <f>'Expenditures 15-22'!K174</f>
        <v>492550</v>
      </c>
      <c r="G10" s="708"/>
    </row>
    <row r="11" spans="1:9" x14ac:dyDescent="0.2">
      <c r="A11" s="705" t="s">
        <v>458</v>
      </c>
      <c r="B11" s="706" t="s">
        <v>1850</v>
      </c>
      <c r="C11" s="707"/>
      <c r="D11" s="705" t="s">
        <v>498</v>
      </c>
      <c r="E11" s="704"/>
      <c r="F11" s="1775">
        <f>'Expenditures 15-22'!K210</f>
        <v>204554</v>
      </c>
      <c r="G11" s="708"/>
    </row>
    <row r="12" spans="1:9" x14ac:dyDescent="0.2">
      <c r="A12" s="705" t="s">
        <v>459</v>
      </c>
      <c r="B12" s="706" t="s">
        <v>1851</v>
      </c>
      <c r="C12" s="707"/>
      <c r="D12" s="705" t="s">
        <v>498</v>
      </c>
      <c r="E12" s="704"/>
      <c r="F12" s="1775">
        <f>'Expenditures 15-22'!K295</f>
        <v>78477</v>
      </c>
      <c r="G12" s="708"/>
    </row>
    <row r="13" spans="1:9" x14ac:dyDescent="0.2">
      <c r="A13" s="705" t="s">
        <v>106</v>
      </c>
      <c r="B13" s="706" t="s">
        <v>1852</v>
      </c>
      <c r="C13" s="707"/>
      <c r="D13" s="705" t="s">
        <v>498</v>
      </c>
      <c r="E13" s="704"/>
      <c r="F13" s="1775">
        <f>'Expenditures 15-22'!K342</f>
        <v>255691</v>
      </c>
      <c r="G13" s="709"/>
    </row>
    <row r="14" spans="1:9" ht="12" customHeight="1" thickBot="1" x14ac:dyDescent="0.25">
      <c r="A14" s="1443"/>
      <c r="B14" s="1444"/>
      <c r="C14" s="1445"/>
      <c r="D14" s="1446" t="s">
        <v>498</v>
      </c>
      <c r="E14" s="1447" t="s">
        <v>952</v>
      </c>
      <c r="F14" s="1776">
        <f>SUM(F8:F13)</f>
        <v>3530567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36668</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160514</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140532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125000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112321</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575035</v>
      </c>
      <c r="G77" s="701"/>
    </row>
    <row r="78" spans="1:9" s="728" customFormat="1" ht="12" customHeight="1" thickTop="1" thickBot="1" x14ac:dyDescent="0.25">
      <c r="A78" s="1450"/>
      <c r="B78" s="1448"/>
      <c r="C78" s="1445"/>
      <c r="D78" s="1449" t="s">
        <v>2012</v>
      </c>
      <c r="E78" s="1447"/>
      <c r="F78" s="1788">
        <f>(F14-F77)</f>
        <v>2955532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180.816</v>
      </c>
      <c r="G79" s="733"/>
      <c r="H79" s="705"/>
      <c r="I79" s="705"/>
    </row>
    <row r="80" spans="1:9" s="728" customFormat="1" ht="12" customHeight="1" thickBot="1" x14ac:dyDescent="0.25">
      <c r="A80" s="1452"/>
      <c r="B80" s="1448"/>
      <c r="C80" s="1445"/>
      <c r="D80" s="1449" t="s">
        <v>2013</v>
      </c>
      <c r="E80" s="1447" t="s">
        <v>952</v>
      </c>
      <c r="F80" s="1790">
        <f>IF(F79&gt;0,F78/F79," Complete Line 79")</f>
        <v>16345.522520130962</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5437</v>
      </c>
      <c r="G95" s="745"/>
    </row>
    <row r="96" spans="1:7" x14ac:dyDescent="0.2">
      <c r="A96" s="741" t="s">
        <v>139</v>
      </c>
      <c r="B96" s="741" t="s">
        <v>174</v>
      </c>
      <c r="C96" s="743">
        <v>1700</v>
      </c>
      <c r="D96" s="751" t="str">
        <f>'Revenues 9-14'!A82</f>
        <v>Total District/School Activity Income</v>
      </c>
      <c r="E96" s="739"/>
      <c r="F96" s="1793">
        <f>SUM('Revenues 9-14'!C82,'Revenues 9-14'!D82)</f>
        <v>22375</v>
      </c>
      <c r="G96" s="745"/>
    </row>
    <row r="97" spans="1:7" x14ac:dyDescent="0.2">
      <c r="A97" s="741" t="s">
        <v>456</v>
      </c>
      <c r="B97" s="741" t="s">
        <v>175</v>
      </c>
      <c r="C97" s="743">
        <f>'Revenues 9-14'!B84</f>
        <v>1811</v>
      </c>
      <c r="D97" s="744" t="str">
        <f>'Revenues 9-14'!A84</f>
        <v>Rentals - Regular Textbooks</v>
      </c>
      <c r="E97" s="739"/>
      <c r="F97" s="1793">
        <f>'Revenues 9-14'!C84</f>
        <v>15598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12501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52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118391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4644</v>
      </c>
      <c r="G124" s="763"/>
    </row>
    <row r="125" spans="1:7" x14ac:dyDescent="0.2">
      <c r="A125" s="760" t="s">
        <v>663</v>
      </c>
      <c r="B125" s="760" t="s">
        <v>1929</v>
      </c>
      <c r="C125" s="765">
        <v>4100</v>
      </c>
      <c r="D125" s="766" t="str">
        <f>'Revenues 9-14'!A188</f>
        <v>Total Title V</v>
      </c>
      <c r="E125" s="739"/>
      <c r="F125" s="1793">
        <f>SUM('Revenues 9-14'!C188,'Revenues 9-14'!D188,'Revenues 9-14'!F188,'Revenues 9-14'!G188)</f>
        <v>20510</v>
      </c>
      <c r="G125" s="763"/>
    </row>
    <row r="126" spans="1:7" x14ac:dyDescent="0.2">
      <c r="A126" s="760" t="s">
        <v>659</v>
      </c>
      <c r="B126" s="760" t="s">
        <v>1930</v>
      </c>
      <c r="C126" s="765">
        <v>4200</v>
      </c>
      <c r="D126" s="762" t="str">
        <f>'Revenues 9-14'!A198</f>
        <v>Total Food Service</v>
      </c>
      <c r="E126" s="739"/>
      <c r="F126" s="1793">
        <f>SUM('Revenues 9-14'!C198,'Revenues 9-14'!G198)</f>
        <v>3802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32739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69075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5514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1376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5983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37936</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356083</v>
      </c>
    </row>
    <row r="176" spans="1:7" ht="12" customHeight="1" x14ac:dyDescent="0.2">
      <c r="A176" s="1443"/>
      <c r="B176" s="1453"/>
      <c r="C176" s="1454"/>
      <c r="D176" s="1455" t="s">
        <v>2014</v>
      </c>
      <c r="E176" s="1456"/>
      <c r="F176" s="1793">
        <f>'PCTC-OEPP 27-28'!F78-F175</f>
        <v>2599449</v>
      </c>
    </row>
    <row r="177" spans="1:9" ht="12" customHeight="1" x14ac:dyDescent="0.2">
      <c r="A177" s="1443"/>
      <c r="B177" s="1453"/>
      <c r="C177" s="1454"/>
      <c r="D177" s="1455" t="s">
        <v>1794</v>
      </c>
      <c r="E177" s="1456"/>
      <c r="F177" s="1793">
        <f>'Cap Outlay Deprec 26'!I18</f>
        <v>343891</v>
      </c>
    </row>
    <row r="178" spans="1:9" ht="12" customHeight="1" x14ac:dyDescent="0.2">
      <c r="A178" s="1443"/>
      <c r="B178" s="1453"/>
      <c r="C178" s="1454"/>
      <c r="D178" s="1455" t="s">
        <v>2015</v>
      </c>
      <c r="E178" s="1456"/>
      <c r="F178" s="1793">
        <f>F176+F177</f>
        <v>2943340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180.816</v>
      </c>
      <c r="G179" s="763"/>
      <c r="I179" s="701"/>
    </row>
    <row r="180" spans="1:9" ht="12" customHeight="1" thickBot="1" x14ac:dyDescent="0.25">
      <c r="A180" s="1443"/>
      <c r="B180" s="1457"/>
      <c r="C180" s="1454"/>
      <c r="D180" s="1455" t="s">
        <v>2017</v>
      </c>
      <c r="E180" s="1456" t="s">
        <v>1528</v>
      </c>
      <c r="F180" s="1798">
        <f>F178/F179</f>
        <v>16278.094858862047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4"/>
  <sheetViews>
    <sheetView showGridLines="0" topLeftCell="A2" zoomScaleNormal="100" workbookViewId="0">
      <selection activeCell="A20" sqref="A20"/>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2073</v>
      </c>
      <c r="B18" s="1907">
        <v>202540300</v>
      </c>
      <c r="C18" s="2035" t="s">
        <v>2074</v>
      </c>
      <c r="D18" s="1885">
        <v>1800</v>
      </c>
      <c r="E18" s="1905">
        <f t="shared" ref="E18:E24" si="0">IF(D18&lt;25000,D18,"25,000")</f>
        <v>1800</v>
      </c>
      <c r="F18" s="1905" t="str">
        <f t="shared" ref="F18:F24" si="1">IF(D18&gt;=25000,(D18-E18),"0")</f>
        <v>0</v>
      </c>
      <c r="G18" s="1886"/>
    </row>
    <row r="19" spans="1:7" x14ac:dyDescent="0.25">
      <c r="A19" s="2036" t="s">
        <v>2080</v>
      </c>
      <c r="B19" s="1907">
        <v>202540300</v>
      </c>
      <c r="C19" s="2037" t="s">
        <v>2081</v>
      </c>
      <c r="D19" s="1885">
        <v>491</v>
      </c>
      <c r="E19" s="1905">
        <f t="shared" si="0"/>
        <v>491</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8"/>
      <c r="C25" s="1888"/>
      <c r="D25" s="1885"/>
      <c r="E25" s="1905">
        <f t="shared" ref="E25:E33" si="2">IF(D25&lt;25000,D25,"25,000")</f>
        <v>0</v>
      </c>
      <c r="F25" s="1905" t="str">
        <f t="shared" ref="F25:F33" si="3">IF(D25&gt;=25000,(D25-E25),"0")</f>
        <v>0</v>
      </c>
    </row>
    <row r="26" spans="1:7" x14ac:dyDescent="0.25">
      <c r="A26" s="1887"/>
      <c r="B26" s="1908"/>
      <c r="C26" s="1888"/>
      <c r="D26" s="1885"/>
      <c r="E26" s="1905">
        <f t="shared" si="2"/>
        <v>0</v>
      </c>
      <c r="F26" s="1905" t="str">
        <f t="shared" si="3"/>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9"/>
      <c r="C33" s="1888"/>
      <c r="D33" s="1885"/>
      <c r="E33" s="1905">
        <f t="shared" si="2"/>
        <v>0</v>
      </c>
      <c r="F33" s="1905" t="str">
        <f t="shared" si="3"/>
        <v>0</v>
      </c>
    </row>
    <row r="34" spans="1:6" x14ac:dyDescent="0.25">
      <c r="A34" s="1889" t="s">
        <v>155</v>
      </c>
      <c r="B34" s="1910"/>
      <c r="C34" s="1890"/>
      <c r="D34" s="1891">
        <f>SUM(D18:D33)</f>
        <v>2291</v>
      </c>
      <c r="E34" s="1892">
        <f>SUM(E18:E33)</f>
        <v>2291</v>
      </c>
      <c r="F34" s="1893">
        <f>SUM(F18:F33)</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1442798</v>
      </c>
      <c r="F19" s="1802"/>
      <c r="G19" s="1804">
        <f>'Expenditures 15-22'!K33-SUM('Expenditures 15-22'!G33,'Expenditures 15-22'!I33)+'Expenditures 15-22'!D229</f>
        <v>1442798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11795</v>
      </c>
      <c r="F21" s="1805"/>
      <c r="G21" s="1808">
        <f>'Expenditures 15-22'!K42-SUM('Expenditures 15-22'!G42,'Expenditures 15-22'!I42)+'Expenditures 15-22'!K120-SUM('Expenditures 15-22'!G120,'Expenditures 15-22'!I120)+'Expenditures 15-22'!K180-SUM('Expenditures 15-22'!G180,'Expenditures 15-22'!I180)+'Expenditures 15-22'!D238</f>
        <v>11795</v>
      </c>
      <c r="H21" s="817"/>
      <c r="I21" s="157"/>
    </row>
    <row r="22" spans="1:9" s="542" customFormat="1" ht="12" customHeight="1" x14ac:dyDescent="0.2">
      <c r="A22" s="824" t="s">
        <v>560</v>
      </c>
      <c r="B22" s="825"/>
      <c r="C22" s="823">
        <v>2200</v>
      </c>
      <c r="D22" s="1805"/>
      <c r="E22" s="1807">
        <f>'Expenditures 15-22'!K47-SUM('Expenditures 15-22'!G47,'Expenditures 15-22'!I47)+'Expenditures 15-22'!D243</f>
        <v>149878</v>
      </c>
      <c r="F22" s="1805"/>
      <c r="G22" s="1808">
        <f>'Expenditures 15-22'!K47-SUM('Expenditures 15-22'!G47,'Expenditures 15-22'!I47)+'Expenditures 15-22'!D243</f>
        <v>149878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343662</v>
      </c>
      <c r="F23" s="1805"/>
      <c r="G23" s="1807">
        <f>'Expenditures 15-22'!K53-SUM('Expenditures 15-22'!G53,'Expenditures 15-22'!I53)+'Expenditures 15-22'!D257+'Expenditures 15-22'!K330-SUM('Expenditures 15-22'!G330,'Expenditures 15-22'!I330)</f>
        <v>343662</v>
      </c>
      <c r="H23" s="817"/>
      <c r="I23" s="157"/>
    </row>
    <row r="24" spans="1:9" s="542" customFormat="1" ht="12" customHeight="1" x14ac:dyDescent="0.2">
      <c r="A24" s="824" t="s">
        <v>562</v>
      </c>
      <c r="B24" s="825"/>
      <c r="C24" s="823">
        <v>2400</v>
      </c>
      <c r="D24" s="1805"/>
      <c r="E24" s="1807">
        <f>'Expenditures 15-22'!K57-SUM('Expenditures 15-22'!G57,'Expenditures 15-22'!I57)+'Expenditures 15-22'!D261</f>
        <v>186930</v>
      </c>
      <c r="F24" s="1805"/>
      <c r="G24" s="1808">
        <f>'Expenditures 15-22'!K57-SUM('Expenditures 15-22'!G57,'Expenditures 15-22'!I57)+'Expenditures 15-22'!D261</f>
        <v>186930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80743</v>
      </c>
      <c r="E27" s="1807">
        <f>E8</f>
        <v>0</v>
      </c>
      <c r="F27" s="1807">
        <f>'Expenditures 15-22'!K60-SUM('Expenditures 15-22'!G60,'Expenditures 15-22'!I60)+'Expenditures 15-22'!D264-E8</f>
        <v>80743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183486</v>
      </c>
      <c r="F28" s="1809">
        <f>'Expenditures 15-22'!K61-SUM('Expenditures 15-22'!G61,'Expenditures 15-22'!I61)+'Expenditures 15-22'!K124-SUM('Expenditures 15-22'!G124,'Expenditures 15-22'!I124)+'Expenditures 15-22'!D266-E9</f>
        <v>183486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204554</v>
      </c>
      <c r="F29" s="1805"/>
      <c r="G29" s="1808">
        <f>'Expenditures 15-22'!K62-SUM('Expenditures 15-22'!G62,'Expenditures 15-22'!I62)+'Expenditures 15-22'!K125-SUM('Expenditures 15-22'!G125,'Expenditures 15-22'!I125)+'Expenditures 15-22'!K182-SUM('Expenditures 15-22'!G182,'Expenditures 15-22'!I182)+'Expenditures 15-22'!D267</f>
        <v>204554</v>
      </c>
      <c r="H29" s="815"/>
    </row>
    <row r="30" spans="1:9" ht="12" customHeight="1" x14ac:dyDescent="0.2">
      <c r="A30" s="824" t="s">
        <v>100</v>
      </c>
      <c r="B30" s="827"/>
      <c r="C30" s="823">
        <v>2560</v>
      </c>
      <c r="D30" s="1805"/>
      <c r="E30" s="1807">
        <f>'Expenditures 15-22'!K63-SUM('Expenditures 15-22'!G63,'Expenditures 15-22'!I63)+'Expenditures 15-22'!D268-E10</f>
        <v>17445</v>
      </c>
      <c r="F30" s="1805"/>
      <c r="G30" s="1807">
        <f>'Expenditures 15-22'!K63-SUM('Expenditures 15-22'!G63,'Expenditures 15-22'!I63)+'Expenditures 15-22'!D268-E10</f>
        <v>17445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404</v>
      </c>
      <c r="E36" s="1807">
        <f>E13</f>
        <v>0</v>
      </c>
      <c r="F36" s="1807">
        <f>'Expenditures 15-22'!K70-SUM('Expenditures 15-22'!G70,'Expenditures 15-22'!I70)+'Expenditures 15-22'!D275-E13</f>
        <v>404</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29'!F34</f>
        <v>0</v>
      </c>
      <c r="F40" s="1805"/>
      <c r="G40" s="1809">
        <f>-'Contracts Paid in CY 29'!F34</f>
        <v>0</v>
      </c>
    </row>
    <row r="41" spans="1:7" ht="12" customHeight="1" x14ac:dyDescent="0.2">
      <c r="A41" s="828" t="s">
        <v>155</v>
      </c>
      <c r="B41" s="829"/>
      <c r="C41" s="830"/>
      <c r="D41" s="1809">
        <f>SUM(D19:D39)</f>
        <v>81147</v>
      </c>
      <c r="E41" s="1809">
        <f>SUM(E19:E40)</f>
        <v>2540548</v>
      </c>
      <c r="F41" s="1809">
        <f>SUM(F19:F39)</f>
        <v>264633</v>
      </c>
      <c r="G41" s="1809">
        <f>SUM(G19:G40)</f>
        <v>2357062</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81147</v>
      </c>
      <c r="F43" s="1458" t="s">
        <v>470</v>
      </c>
      <c r="G43" s="1810">
        <f>F41</f>
        <v>264633</v>
      </c>
    </row>
    <row r="44" spans="1:7" ht="12" customHeight="1" x14ac:dyDescent="0.2">
      <c r="A44" s="817"/>
      <c r="B44" s="157"/>
      <c r="C44" s="831"/>
      <c r="D44" s="1458" t="s">
        <v>471</v>
      </c>
      <c r="E44" s="1810">
        <f>E41</f>
        <v>2540548</v>
      </c>
      <c r="F44" s="1458" t="s">
        <v>471</v>
      </c>
      <c r="G44" s="1810">
        <f>G41</f>
        <v>2357062</v>
      </c>
    </row>
    <row r="45" spans="1:7" ht="12" customHeight="1" x14ac:dyDescent="0.2">
      <c r="A45" s="817"/>
      <c r="B45" s="157"/>
      <c r="C45" s="157"/>
      <c r="D45" s="1459" t="s">
        <v>999</v>
      </c>
      <c r="E45" s="1811">
        <f>(E43/E44)</f>
        <v>3.1940746642063048E-2</v>
      </c>
      <c r="F45" s="1459" t="s">
        <v>999</v>
      </c>
      <c r="G45" s="1811">
        <f>(G43/G44)</f>
        <v>0.11227239673797296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Waltham CCSD 185</v>
      </c>
      <c r="D6" s="2416"/>
      <c r="E6" s="2416"/>
      <c r="F6" s="1482"/>
      <c r="G6" s="1507"/>
      <c r="L6" s="1507"/>
      <c r="M6" s="1855"/>
      <c r="N6" s="1855"/>
      <c r="O6" s="1855"/>
    </row>
    <row r="7" spans="1:15" ht="11.25" customHeight="1" thickBot="1" x14ac:dyDescent="0.3">
      <c r="A7" s="1480"/>
      <c r="B7" s="1481"/>
      <c r="C7" s="2417" t="str">
        <f>COVER!A13</f>
        <v>35-050-1850-04</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2071</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2072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38" t="str">
        <f>COVER!A17</f>
        <v>Waltham CCSD 185</v>
      </c>
      <c r="K6" s="2438"/>
      <c r="L6" s="2452"/>
      <c r="M6" s="838"/>
      <c r="N6" s="1997"/>
    </row>
    <row r="7" spans="1:14" x14ac:dyDescent="0.2">
      <c r="A7" s="2453" t="s">
        <v>864</v>
      </c>
      <c r="B7" s="2454"/>
      <c r="C7" s="2454"/>
      <c r="D7" s="2454"/>
      <c r="E7" s="2455"/>
      <c r="F7" s="839"/>
      <c r="G7" s="838"/>
      <c r="H7" s="838"/>
      <c r="I7" s="1923" t="s">
        <v>369</v>
      </c>
      <c r="J7" s="2440" t="str">
        <f>COVER!A13</f>
        <v>35-050-1850-04</v>
      </c>
      <c r="K7" s="2440"/>
      <c r="L7" s="2440"/>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6" t="s">
        <v>478</v>
      </c>
      <c r="B11" s="2457"/>
      <c r="C11" s="2458"/>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150758</v>
      </c>
      <c r="F12" s="1941"/>
      <c r="G12" s="1967">
        <f>G68</f>
        <v>8366</v>
      </c>
      <c r="H12" s="1943">
        <f t="shared" ref="H12:H18" si="0">SUM(E12:G12)</f>
        <v>159124</v>
      </c>
      <c r="I12" s="1942">
        <v>158295</v>
      </c>
      <c r="J12" s="1941"/>
      <c r="K12" s="1942">
        <v>8617</v>
      </c>
      <c r="L12" s="1943">
        <f t="shared" ref="L12:L18" si="1">SUM(I12:K12)</f>
        <v>166912</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9" t="s">
        <v>7</v>
      </c>
      <c r="C18" s="2460"/>
      <c r="D18" s="2461"/>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150758</v>
      </c>
      <c r="F19" s="1949">
        <f t="shared" si="2"/>
        <v>0</v>
      </c>
      <c r="G19" s="1949">
        <f t="shared" ref="G19" si="3">SUM(G12:G17)-G18</f>
        <v>8366</v>
      </c>
      <c r="H19" s="1949">
        <f t="shared" si="2"/>
        <v>159124</v>
      </c>
      <c r="I19" s="1949">
        <f t="shared" si="2"/>
        <v>158295</v>
      </c>
      <c r="J19" s="1949">
        <f t="shared" si="2"/>
        <v>0</v>
      </c>
      <c r="K19" s="1949">
        <f t="shared" si="2"/>
        <v>8617</v>
      </c>
      <c r="L19" s="1949">
        <f t="shared" si="2"/>
        <v>166912</v>
      </c>
      <c r="M19" s="838"/>
      <c r="N19" s="1997"/>
    </row>
    <row r="20" spans="1:14" ht="13.5" thickTop="1" x14ac:dyDescent="0.2">
      <c r="A20" s="2002">
        <v>9</v>
      </c>
      <c r="B20" s="2462" t="s">
        <v>2021</v>
      </c>
      <c r="C20" s="2462"/>
      <c r="D20" s="2463"/>
      <c r="E20" s="1950"/>
      <c r="F20" s="1950"/>
      <c r="G20" s="1950"/>
      <c r="H20" s="1950"/>
      <c r="I20" s="1950"/>
      <c r="J20" s="1950"/>
      <c r="K20" s="1950"/>
      <c r="L20" s="1951">
        <f>IF(AND(H19&gt;0,L19&gt;0),(((L19-H19)/H19)),"Enter Budget Data")</f>
        <v>4.8942962720896911E-2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4"/>
      <c r="D27" s="2464"/>
      <c r="E27" s="843"/>
      <c r="F27" s="2465"/>
      <c r="G27" s="2465"/>
      <c r="H27" s="2465"/>
      <c r="I27" s="838"/>
      <c r="J27" s="838"/>
      <c r="K27" s="838"/>
      <c r="L27" s="838"/>
      <c r="M27" s="838"/>
      <c r="N27" s="1997"/>
    </row>
    <row r="28" spans="1:14" x14ac:dyDescent="0.2">
      <c r="A28" s="1996"/>
      <c r="B28" s="2006"/>
      <c r="C28" s="1956" t="s">
        <v>1026</v>
      </c>
      <c r="D28" s="844"/>
      <c r="E28" s="1957"/>
      <c r="F28" s="2466" t="s">
        <v>1492</v>
      </c>
      <c r="G28" s="2466"/>
      <c r="H28" s="2466"/>
      <c r="I28" s="838"/>
      <c r="J28" s="838"/>
      <c r="K28" s="838"/>
      <c r="L28" s="838"/>
      <c r="M28" s="838"/>
      <c r="N28" s="1997"/>
    </row>
    <row r="29" spans="1:14" x14ac:dyDescent="0.2">
      <c r="A29" s="1996"/>
      <c r="B29" s="2006"/>
      <c r="C29" s="2467"/>
      <c r="D29" s="2467"/>
      <c r="E29" s="845"/>
      <c r="F29" s="2467"/>
      <c r="G29" s="2467"/>
      <c r="H29" s="2467"/>
      <c r="I29" s="838"/>
      <c r="J29" s="838"/>
      <c r="K29" s="838"/>
      <c r="L29" s="838"/>
      <c r="M29" s="838"/>
      <c r="N29" s="1997"/>
    </row>
    <row r="30" spans="1:14" x14ac:dyDescent="0.2">
      <c r="A30" s="1996"/>
      <c r="B30" s="2006"/>
      <c r="C30" s="1959" t="s">
        <v>1544</v>
      </c>
      <c r="D30" s="838"/>
      <c r="E30" s="1958"/>
      <c r="F30" s="2451" t="s">
        <v>1493</v>
      </c>
      <c r="G30" s="2451"/>
      <c r="H30" s="2451"/>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8" t="s">
        <v>2024</v>
      </c>
      <c r="D34" s="2429"/>
      <c r="E34" s="2429"/>
      <c r="F34" s="2429"/>
      <c r="G34" s="2429"/>
      <c r="H34" s="2429"/>
      <c r="I34" s="2429"/>
      <c r="J34" s="2429"/>
      <c r="K34" s="2015"/>
      <c r="L34" s="838"/>
      <c r="M34" s="838"/>
      <c r="N34" s="1997"/>
    </row>
    <row r="35" spans="1:14" x14ac:dyDescent="0.2">
      <c r="A35" s="1996"/>
      <c r="B35" s="838"/>
      <c r="C35" s="2429"/>
      <c r="D35" s="2429"/>
      <c r="E35" s="2429"/>
      <c r="F35" s="2429"/>
      <c r="G35" s="2429"/>
      <c r="H35" s="2429"/>
      <c r="I35" s="2429"/>
      <c r="J35" s="2429"/>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8" t="s">
        <v>2025</v>
      </c>
      <c r="D37" s="2429"/>
      <c r="E37" s="2429"/>
      <c r="F37" s="2429"/>
      <c r="G37" s="2429"/>
      <c r="H37" s="2429"/>
      <c r="I37" s="2429"/>
      <c r="J37" s="2429"/>
      <c r="K37" s="2015"/>
      <c r="L37" s="2017"/>
      <c r="M37" s="838"/>
      <c r="N37" s="1997"/>
    </row>
    <row r="38" spans="1:14" x14ac:dyDescent="0.2">
      <c r="A38" s="1996"/>
      <c r="B38" s="838"/>
      <c r="C38" s="2429"/>
      <c r="D38" s="2429"/>
      <c r="E38" s="2429"/>
      <c r="F38" s="2429"/>
      <c r="G38" s="2429"/>
      <c r="H38" s="2429"/>
      <c r="I38" s="2429"/>
      <c r="J38" s="2429"/>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30" t="s">
        <v>2026</v>
      </c>
      <c r="D40" s="2431"/>
      <c r="E40" s="2431"/>
      <c r="F40" s="2431"/>
      <c r="G40" s="2431"/>
      <c r="H40" s="2431"/>
      <c r="I40" s="2431"/>
      <c r="J40" s="2431"/>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8" t="str">
        <f>J6</f>
        <v>Waltham CCSD 185</v>
      </c>
      <c r="M52" s="2438"/>
      <c r="N52" s="2439"/>
    </row>
    <row r="53" spans="1:14" x14ac:dyDescent="0.2">
      <c r="A53" s="1981"/>
      <c r="B53" s="1982"/>
      <c r="C53" s="1982"/>
      <c r="D53" s="1982"/>
      <c r="E53" s="1982"/>
      <c r="F53" s="1982"/>
      <c r="G53" s="1982"/>
      <c r="H53" s="1982"/>
      <c r="I53" s="1982"/>
      <c r="J53" s="1982"/>
      <c r="K53" s="1923" t="s">
        <v>369</v>
      </c>
      <c r="L53" s="2440" t="str">
        <f>J7</f>
        <v>35-050-1850-04</v>
      </c>
      <c r="M53" s="2440"/>
      <c r="N53" s="2441"/>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2"/>
      <c r="B55" s="2443"/>
      <c r="C55" s="2443"/>
      <c r="D55" s="1969"/>
      <c r="E55" s="1969"/>
      <c r="F55" s="1969"/>
      <c r="G55" s="2444" t="s">
        <v>2030</v>
      </c>
      <c r="H55" s="2444"/>
      <c r="I55" s="2444"/>
      <c r="J55" s="2444"/>
      <c r="K55" s="2444"/>
      <c r="L55" s="2444"/>
      <c r="M55" s="2444"/>
      <c r="N55" s="2445"/>
    </row>
    <row r="56" spans="1:14" ht="63.75" x14ac:dyDescent="0.2">
      <c r="A56" s="2446" t="s">
        <v>2031</v>
      </c>
      <c r="B56" s="2447"/>
      <c r="C56" s="2448"/>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49" t="s">
        <v>296</v>
      </c>
      <c r="B57" s="2450"/>
      <c r="C57" s="2450"/>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6" t="s">
        <v>2041</v>
      </c>
      <c r="B58" s="2427"/>
      <c r="C58" s="2427"/>
      <c r="D58" s="1966">
        <v>2362</v>
      </c>
      <c r="E58" s="1976">
        <f>'Expenditures 15-22'!K320</f>
        <v>10681</v>
      </c>
      <c r="F58" s="1971"/>
      <c r="G58" s="2030"/>
      <c r="H58" s="2031"/>
      <c r="I58" s="2031"/>
      <c r="J58" s="2031"/>
      <c r="K58" s="2031"/>
      <c r="L58" s="2031"/>
      <c r="M58" s="2031">
        <v>10681</v>
      </c>
      <c r="N58" s="1974">
        <f>IF((SUM(G58:M58))=E58,SUM(G58:M58),"Column N does not agree with Column E")</f>
        <v>10681</v>
      </c>
    </row>
    <row r="59" spans="1:14" ht="24.75" customHeight="1" x14ac:dyDescent="0.2">
      <c r="A59" s="2420" t="s">
        <v>297</v>
      </c>
      <c r="B59" s="2421"/>
      <c r="C59" s="2421"/>
      <c r="D59" s="1966">
        <v>2363</v>
      </c>
      <c r="E59" s="1976">
        <f>'Expenditures 15-22'!K321</f>
        <v>5817</v>
      </c>
      <c r="F59" s="1971"/>
      <c r="G59" s="2030"/>
      <c r="H59" s="2031"/>
      <c r="I59" s="2031"/>
      <c r="J59" s="2031"/>
      <c r="K59" s="2031"/>
      <c r="L59" s="2031"/>
      <c r="M59" s="2031">
        <v>5817</v>
      </c>
      <c r="N59" s="1974">
        <f>IF((SUM(G59:M59))=E59,SUM(G59:M59),"Column N does not agree with Column E")</f>
        <v>5817</v>
      </c>
    </row>
    <row r="60" spans="1:14" ht="24" customHeight="1" x14ac:dyDescent="0.2">
      <c r="A60" s="2420" t="s">
        <v>236</v>
      </c>
      <c r="B60" s="2421"/>
      <c r="C60" s="2421"/>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20" t="s">
        <v>697</v>
      </c>
      <c r="B61" s="2421"/>
      <c r="C61" s="2421"/>
      <c r="D61" s="1966">
        <v>2365</v>
      </c>
      <c r="E61" s="1976">
        <f>'Expenditures 15-22'!K323</f>
        <v>136411</v>
      </c>
      <c r="F61" s="1971"/>
      <c r="G61" s="2030">
        <v>8366</v>
      </c>
      <c r="H61" s="2031"/>
      <c r="I61" s="2031"/>
      <c r="J61" s="2031"/>
      <c r="K61" s="2031"/>
      <c r="L61" s="2031"/>
      <c r="M61" s="2031">
        <f>136411-8366</f>
        <v>128045</v>
      </c>
      <c r="N61" s="1974">
        <f t="shared" si="4"/>
        <v>136411</v>
      </c>
    </row>
    <row r="62" spans="1:14" ht="24" customHeight="1" x14ac:dyDescent="0.2">
      <c r="A62" s="2420" t="s">
        <v>237</v>
      </c>
      <c r="B62" s="2421"/>
      <c r="C62" s="2421"/>
      <c r="D62" s="1966">
        <v>2366</v>
      </c>
      <c r="E62" s="1976">
        <f>'Expenditures 15-22'!K324</f>
        <v>0</v>
      </c>
      <c r="F62" s="1971"/>
      <c r="G62" s="2030"/>
      <c r="H62" s="2031"/>
      <c r="I62" s="2031"/>
      <c r="J62" s="2031"/>
      <c r="K62" s="2031"/>
      <c r="L62" s="2031"/>
      <c r="M62" s="2031"/>
      <c r="N62" s="1974">
        <f t="shared" si="4"/>
        <v>0</v>
      </c>
    </row>
    <row r="63" spans="1:14" ht="24" customHeight="1" x14ac:dyDescent="0.2">
      <c r="A63" s="2426" t="s">
        <v>1022</v>
      </c>
      <c r="B63" s="2427"/>
      <c r="C63" s="2427"/>
      <c r="D63" s="1966">
        <v>2367</v>
      </c>
      <c r="E63" s="1976">
        <f>'Expenditures 15-22'!K325</f>
        <v>78034</v>
      </c>
      <c r="F63" s="1971"/>
      <c r="G63" s="2030"/>
      <c r="H63" s="2031"/>
      <c r="I63" s="2031"/>
      <c r="J63" s="2031"/>
      <c r="K63" s="2031"/>
      <c r="L63" s="2031"/>
      <c r="M63" s="2031">
        <v>78034</v>
      </c>
      <c r="N63" s="1974">
        <f t="shared" si="4"/>
        <v>78034</v>
      </c>
    </row>
    <row r="64" spans="1:14" ht="24" customHeight="1" x14ac:dyDescent="0.2">
      <c r="A64" s="2420" t="s">
        <v>1023</v>
      </c>
      <c r="B64" s="2421"/>
      <c r="C64" s="2421"/>
      <c r="D64" s="1966">
        <v>2368</v>
      </c>
      <c r="E64" s="1976">
        <f>'Expenditures 15-22'!K326</f>
        <v>0</v>
      </c>
      <c r="F64" s="1971"/>
      <c r="G64" s="2030"/>
      <c r="H64" s="2031"/>
      <c r="I64" s="2031"/>
      <c r="J64" s="2031"/>
      <c r="K64" s="2031"/>
      <c r="L64" s="2031"/>
      <c r="M64" s="2031"/>
      <c r="N64" s="1974">
        <f t="shared" si="4"/>
        <v>0</v>
      </c>
    </row>
    <row r="65" spans="1:14" ht="24" customHeight="1" x14ac:dyDescent="0.2">
      <c r="A65" s="2420" t="s">
        <v>965</v>
      </c>
      <c r="B65" s="2421"/>
      <c r="C65" s="2421"/>
      <c r="D65" s="1966">
        <v>2369</v>
      </c>
      <c r="E65" s="1976">
        <f>'Expenditures 15-22'!K327</f>
        <v>398</v>
      </c>
      <c r="F65" s="1971"/>
      <c r="G65" s="2030"/>
      <c r="H65" s="2031"/>
      <c r="I65" s="2031"/>
      <c r="J65" s="2031"/>
      <c r="K65" s="2031"/>
      <c r="L65" s="2031"/>
      <c r="M65" s="2031">
        <v>398</v>
      </c>
      <c r="N65" s="1974">
        <f t="shared" si="4"/>
        <v>398</v>
      </c>
    </row>
    <row r="66" spans="1:14" ht="24" customHeight="1" x14ac:dyDescent="0.2">
      <c r="A66" s="2420" t="s">
        <v>469</v>
      </c>
      <c r="B66" s="2421"/>
      <c r="C66" s="2421"/>
      <c r="D66" s="1966">
        <v>2371</v>
      </c>
      <c r="E66" s="1976">
        <f>'Expenditures 15-22'!K328</f>
        <v>21395</v>
      </c>
      <c r="F66" s="1971"/>
      <c r="G66" s="2030"/>
      <c r="H66" s="2031"/>
      <c r="I66" s="2031"/>
      <c r="J66" s="2031"/>
      <c r="K66" s="2031"/>
      <c r="L66" s="2031"/>
      <c r="M66" s="2031">
        <v>21395</v>
      </c>
      <c r="N66" s="1974">
        <f t="shared" si="4"/>
        <v>21395</v>
      </c>
    </row>
    <row r="67" spans="1:14" ht="24.75" customHeight="1" x14ac:dyDescent="0.2">
      <c r="A67" s="2422" t="s">
        <v>2042</v>
      </c>
      <c r="B67" s="2423"/>
      <c r="C67" s="2423"/>
      <c r="D67" s="1968">
        <v>2372</v>
      </c>
      <c r="E67" s="1977">
        <f>'Expenditures 15-22'!K329</f>
        <v>0</v>
      </c>
      <c r="F67" s="1971"/>
      <c r="G67" s="2032"/>
      <c r="H67" s="2033"/>
      <c r="I67" s="2033"/>
      <c r="J67" s="2033"/>
      <c r="K67" s="2033"/>
      <c r="L67" s="2033"/>
      <c r="M67" s="2033"/>
      <c r="N67" s="1974">
        <f t="shared" si="4"/>
        <v>0</v>
      </c>
    </row>
    <row r="68" spans="1:14" x14ac:dyDescent="0.2">
      <c r="A68" s="2424" t="s">
        <v>1151</v>
      </c>
      <c r="B68" s="2425"/>
      <c r="C68" s="2425"/>
      <c r="D68" s="1969"/>
      <c r="E68" s="1973">
        <f>SUM(E57:E67)</f>
        <v>252736</v>
      </c>
      <c r="F68" s="1972"/>
      <c r="G68" s="1973">
        <f t="shared" ref="G68:N68" si="5">SUM(G57:G67)</f>
        <v>8366</v>
      </c>
      <c r="H68" s="1973">
        <f t="shared" si="5"/>
        <v>0</v>
      </c>
      <c r="I68" s="1973">
        <f t="shared" si="5"/>
        <v>0</v>
      </c>
      <c r="J68" s="1973">
        <f t="shared" si="5"/>
        <v>0</v>
      </c>
      <c r="K68" s="1973">
        <f t="shared" si="5"/>
        <v>0</v>
      </c>
      <c r="L68" s="1973">
        <f t="shared" si="5"/>
        <v>0</v>
      </c>
      <c r="M68" s="1973">
        <f t="shared" si="5"/>
        <v>244370</v>
      </c>
      <c r="N68" s="1987">
        <f t="shared" si="5"/>
        <v>252736</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7" sqref="B1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2077</v>
      </c>
    </row>
    <row r="6" spans="1:2" x14ac:dyDescent="0.2">
      <c r="A6" s="847">
        <v>2</v>
      </c>
      <c r="B6" s="548" t="s">
        <v>2078</v>
      </c>
    </row>
    <row r="7" spans="1:2" x14ac:dyDescent="0.2">
      <c r="A7" s="847">
        <v>3</v>
      </c>
      <c r="B7" s="548" t="s">
        <v>2075</v>
      </c>
    </row>
    <row r="8" spans="1:2" x14ac:dyDescent="0.2">
      <c r="A8" s="847">
        <v>4</v>
      </c>
      <c r="B8" s="307" t="s">
        <v>2076</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Waltham CCSD 185</v>
      </c>
    </row>
    <row r="65" spans="2:2" x14ac:dyDescent="0.2">
      <c r="B65" s="849" t="str">
        <f>COVER!A13</f>
        <v>35-050-1850-04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7" sqref="G1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857250</xdr:colOff>
                <xdr:row>4</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2127875</v>
      </c>
      <c r="C8" s="1813">
        <f>'Acct Summary 7-8'!D8</f>
        <v>195745</v>
      </c>
      <c r="D8" s="1813">
        <f>'Acct Summary 7-8'!F8</f>
        <v>209287</v>
      </c>
      <c r="E8" s="1813">
        <f>'Acct Summary 7-8'!I8</f>
        <v>37960</v>
      </c>
      <c r="F8" s="1813">
        <f>SUM(B8:E8)</f>
        <v>2570867</v>
      </c>
    </row>
    <row r="9" spans="1:8" s="858" customFormat="1" ht="14.25" customHeight="1" thickBot="1" x14ac:dyDescent="0.25">
      <c r="A9" s="857" t="s">
        <v>1353</v>
      </c>
      <c r="B9" s="1814">
        <f>'Acct Summary 7-8'!C17</f>
        <v>2201309</v>
      </c>
      <c r="C9" s="1814">
        <f>'Acct Summary 7-8'!D17</f>
        <v>297986</v>
      </c>
      <c r="D9" s="1814">
        <f>'Acct Summary 7-8'!F17</f>
        <v>204554</v>
      </c>
      <c r="E9" s="1813"/>
      <c r="F9" s="1813">
        <f>SUM(B9:E9)</f>
        <v>2703849</v>
      </c>
    </row>
    <row r="10" spans="1:8" s="858" customFormat="1" ht="14.25" thickTop="1" thickBot="1" x14ac:dyDescent="0.25">
      <c r="A10" s="859" t="s">
        <v>1354</v>
      </c>
      <c r="B10" s="1815">
        <f>(B8-B9)</f>
        <v>-73434</v>
      </c>
      <c r="C10" s="1815">
        <f>(C8-C9)</f>
        <v>-102241</v>
      </c>
      <c r="D10" s="1815">
        <f>(D8-D9)</f>
        <v>4733</v>
      </c>
      <c r="E10" s="1814">
        <f>(E8-E9)</f>
        <v>37960</v>
      </c>
      <c r="F10" s="1816">
        <f>SUM(F8-F9)</f>
        <v>-132982</v>
      </c>
    </row>
    <row r="11" spans="1:8" s="858" customFormat="1" ht="14.25" thickTop="1" thickBot="1" x14ac:dyDescent="0.25">
      <c r="A11" s="860" t="s">
        <v>1903</v>
      </c>
      <c r="B11" s="1817">
        <f>'Acct Summary 7-8'!C81</f>
        <v>2083844</v>
      </c>
      <c r="C11" s="1817">
        <f>'Acct Summary 7-8'!D81</f>
        <v>634147</v>
      </c>
      <c r="D11" s="1817">
        <f>'Acct Summary 7-8'!F81</f>
        <v>122431</v>
      </c>
      <c r="E11" s="1817">
        <f>'Acct Summary 7-8'!I81</f>
        <v>105474</v>
      </c>
      <c r="F11" s="1818">
        <f>SUM(B11:E11)</f>
        <v>2945896</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83" sqref="C8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29'!$D$34&gt;0,"OK","PLEASE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t="str">
        <f>COVER!A13</f>
        <v>35-050-1850-04</v>
      </c>
      <c r="E2" s="1542">
        <v>2020</v>
      </c>
      <c r="F2" s="1542">
        <v>1</v>
      </c>
      <c r="G2" s="1898">
        <v>101000300</v>
      </c>
    </row>
    <row r="3" spans="1:7" ht="15" x14ac:dyDescent="0.25">
      <c r="A3" t="s">
        <v>950</v>
      </c>
      <c r="B3" s="135" t="str">
        <f>COVER!A15</f>
        <v>LaSalle</v>
      </c>
      <c r="E3" s="1830" t="s">
        <v>1971</v>
      </c>
      <c r="F3" s="1830" t="s">
        <v>1970</v>
      </c>
      <c r="G3" s="1898">
        <v>101000400</v>
      </c>
    </row>
    <row r="4" spans="1:7" ht="15" x14ac:dyDescent="0.25">
      <c r="A4" t="s">
        <v>1000</v>
      </c>
      <c r="B4" s="135" t="str">
        <f>COVER!A17</f>
        <v>Waltham CCSD 185</v>
      </c>
      <c r="E4" s="1828">
        <v>44119</v>
      </c>
      <c r="F4" s="1829">
        <v>44151</v>
      </c>
      <c r="G4" s="1898">
        <v>101000600</v>
      </c>
    </row>
    <row r="5" spans="1:7" ht="15" x14ac:dyDescent="0.25">
      <c r="A5" t="s">
        <v>699</v>
      </c>
      <c r="B5" s="135" t="str">
        <f>COVER!A38</f>
        <v>Kristine Eager</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066-004501</v>
      </c>
      <c r="G15" s="1898">
        <v>402100400</v>
      </c>
    </row>
    <row r="16" spans="1:7" ht="15" x14ac:dyDescent="0.25">
      <c r="A16" t="s">
        <v>419</v>
      </c>
      <c r="B16" s="135" t="str">
        <f>COVER!T13</f>
        <v>Hopkins &amp; Associates, CPAs</v>
      </c>
      <c r="G16" s="1898">
        <v>402100600</v>
      </c>
    </row>
    <row r="17" spans="1:7" ht="15" x14ac:dyDescent="0.25">
      <c r="A17" t="s">
        <v>878</v>
      </c>
      <c r="B17" s="135" t="str">
        <f>COVER!T15</f>
        <v>Kim Bird</v>
      </c>
      <c r="G17" s="1898">
        <v>402100800</v>
      </c>
    </row>
    <row r="18" spans="1:7" ht="15" x14ac:dyDescent="0.25">
      <c r="A18" t="s">
        <v>1140</v>
      </c>
      <c r="B18" s="135" t="str">
        <f>COVER!T17</f>
        <v>314 S. McCoy St.</v>
      </c>
      <c r="G18" s="1898">
        <v>102200300</v>
      </c>
    </row>
    <row r="19" spans="1:7" ht="15" x14ac:dyDescent="0.25">
      <c r="A19" t="s">
        <v>880</v>
      </c>
      <c r="B19" s="135" t="str">
        <f>COVER!T25</f>
        <v>kim@hopkinsoffice.com</v>
      </c>
      <c r="G19" s="1898">
        <v>102200400</v>
      </c>
    </row>
    <row r="20" spans="1:7" ht="15" x14ac:dyDescent="0.25">
      <c r="A20" t="s">
        <v>881</v>
      </c>
      <c r="B20" s="135" t="str">
        <f>COVER!T19</f>
        <v>Granville</v>
      </c>
      <c r="G20" s="1898">
        <v>102200600</v>
      </c>
    </row>
    <row r="21" spans="1:7" ht="15" x14ac:dyDescent="0.25">
      <c r="A21" t="s">
        <v>476</v>
      </c>
      <c r="B21" s="135" t="str">
        <f>COVER!X19</f>
        <v>IL</v>
      </c>
      <c r="G21" s="1898">
        <v>102200800</v>
      </c>
    </row>
    <row r="22" spans="1:7" ht="15" x14ac:dyDescent="0.25">
      <c r="A22" t="s">
        <v>882</v>
      </c>
      <c r="B22" s="135">
        <f>COVER!Z19</f>
        <v>61326</v>
      </c>
      <c r="G22" s="1898">
        <v>102300300</v>
      </c>
    </row>
    <row r="23" spans="1:7" ht="15" x14ac:dyDescent="0.25">
      <c r="A23" t="s">
        <v>1142</v>
      </c>
      <c r="B23" s="135" t="str">
        <f>COVER!T21</f>
        <v>815-339-6630</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2083844</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2083844</v>
      </c>
      <c r="D92" s="2" t="str">
        <f t="shared" si="0"/>
        <v>Error?</v>
      </c>
      <c r="G92" s="1898">
        <v>102640600</v>
      </c>
    </row>
    <row r="93" spans="1:7" ht="15" x14ac:dyDescent="0.25">
      <c r="A93" s="5">
        <v>32</v>
      </c>
      <c r="B93" s="1832">
        <f>'Assets-Liab 5-6'!C41</f>
        <v>2083844</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634147</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634147</v>
      </c>
      <c r="D123" s="2" t="str">
        <f t="shared" si="0"/>
        <v>Error?</v>
      </c>
      <c r="G123" s="1898">
        <v>203000400</v>
      </c>
    </row>
    <row r="124" spans="1:7" ht="15" x14ac:dyDescent="0.25">
      <c r="A124" s="5">
        <v>63</v>
      </c>
      <c r="B124" s="1832">
        <f>'Assets-Liab 5-6'!D41</f>
        <v>634147</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1227551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1227551</v>
      </c>
      <c r="D140" s="2" t="str">
        <f t="shared" si="1"/>
        <v>Error?</v>
      </c>
    </row>
    <row r="141" spans="1:7" x14ac:dyDescent="0.2">
      <c r="A141" s="5">
        <v>80</v>
      </c>
      <c r="B141" s="1832">
        <f>'Assets-Liab 5-6'!E41</f>
        <v>1227551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122431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122431</v>
      </c>
      <c r="D170" s="2" t="str">
        <f t="shared" si="1"/>
        <v>Error?</v>
      </c>
    </row>
    <row r="171" spans="1:4" x14ac:dyDescent="0.2">
      <c r="A171" s="5">
        <v>110</v>
      </c>
      <c r="B171" s="1832">
        <f>'Assets-Liab 5-6'!F41</f>
        <v>122431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210363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158887</v>
      </c>
      <c r="D189" s="2" t="str">
        <f t="shared" si="1"/>
        <v>Error?</v>
      </c>
    </row>
    <row r="190" spans="1:4" x14ac:dyDescent="0.2">
      <c r="A190" s="5">
        <v>129</v>
      </c>
      <c r="B190" s="1832">
        <f>'Assets-Liab 5-6'!G41</f>
        <v>210363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601220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601220</v>
      </c>
      <c r="D212" s="2" t="str">
        <f t="shared" si="2"/>
        <v>Error?</v>
      </c>
    </row>
    <row r="213" spans="1:4" x14ac:dyDescent="0.2">
      <c r="A213" s="12">
        <v>152</v>
      </c>
      <c r="B213" s="1832">
        <f>'Assets-Liab 5-6'!H41</f>
        <v>601220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294090</v>
      </c>
      <c r="D273" s="2" t="str">
        <f t="shared" si="3"/>
        <v>Error?</v>
      </c>
    </row>
    <row r="274" spans="1:4" x14ac:dyDescent="0.2">
      <c r="A274" s="5">
        <v>213</v>
      </c>
      <c r="B274" s="1832">
        <f>'Assets-Liab 5-6'!M17</f>
        <v>12441289</v>
      </c>
      <c r="D274" s="2" t="str">
        <f t="shared" si="3"/>
        <v>Error?</v>
      </c>
    </row>
    <row r="275" spans="1:4" x14ac:dyDescent="0.2">
      <c r="A275" s="5">
        <v>214</v>
      </c>
      <c r="B275" s="1832">
        <f>'Assets-Liab 5-6'!M18</f>
        <v>124540</v>
      </c>
      <c r="D275" s="2" t="str">
        <f t="shared" si="3"/>
        <v>Error?</v>
      </c>
    </row>
    <row r="276" spans="1:4" x14ac:dyDescent="0.2">
      <c r="A276" s="5">
        <v>215</v>
      </c>
      <c r="B276" s="1832">
        <f>'Assets-Liab 5-6'!M19</f>
        <v>1396937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14256856</v>
      </c>
      <c r="C279" s="2" t="s">
        <v>569</v>
      </c>
      <c r="D279" s="2" t="str">
        <f t="shared" si="3"/>
        <v>Error?</v>
      </c>
    </row>
    <row r="280" spans="1:4" x14ac:dyDescent="0.2">
      <c r="A280" s="5">
        <v>219</v>
      </c>
      <c r="B280" s="1832">
        <f>'Assets-Liab 5-6'!M40</f>
        <v>14256856</v>
      </c>
      <c r="D280" s="2" t="str">
        <f t="shared" si="3"/>
        <v>Error?</v>
      </c>
    </row>
    <row r="281" spans="1:4" x14ac:dyDescent="0.2">
      <c r="A281" s="5">
        <v>220</v>
      </c>
      <c r="B281" s="1832">
        <f>'Assets-Liab 5-6'!M41</f>
        <v>14256856</v>
      </c>
      <c r="C281" s="2" t="s">
        <v>569</v>
      </c>
      <c r="D281" s="2" t="str">
        <f t="shared" si="3"/>
        <v>Error?</v>
      </c>
    </row>
    <row r="282" spans="1:4" x14ac:dyDescent="0.2">
      <c r="A282" s="5">
        <v>221</v>
      </c>
      <c r="B282" s="1832">
        <f>'Assets-Liab 5-6'!N21</f>
        <v>1227551</v>
      </c>
      <c r="D282" s="2" t="str">
        <f t="shared" si="3"/>
        <v>Error?</v>
      </c>
    </row>
    <row r="283" spans="1:4" x14ac:dyDescent="0.2">
      <c r="A283" s="5">
        <v>222</v>
      </c>
      <c r="B283" s="1832">
        <f>'Assets-Liab 5-6'!N22</f>
        <v>7887449</v>
      </c>
      <c r="D283" s="2" t="str">
        <f t="shared" si="3"/>
        <v>Error?</v>
      </c>
    </row>
    <row r="284" spans="1:4" x14ac:dyDescent="0.2">
      <c r="A284" s="5">
        <v>223</v>
      </c>
      <c r="B284" s="1832">
        <f>'Assets-Liab 5-6'!N23</f>
        <v>9115000</v>
      </c>
      <c r="C284" s="2" t="s">
        <v>569</v>
      </c>
      <c r="D284" s="2" t="str">
        <f t="shared" si="3"/>
        <v>Error?</v>
      </c>
    </row>
    <row r="285" spans="1:4" x14ac:dyDescent="0.2">
      <c r="A285" s="5">
        <v>224</v>
      </c>
      <c r="B285" s="1832">
        <f>'Assets-Liab 5-6'!N36</f>
        <v>9115000</v>
      </c>
      <c r="D285" s="2" t="str">
        <f t="shared" si="3"/>
        <v>Error?</v>
      </c>
    </row>
    <row r="286" spans="1:4" x14ac:dyDescent="0.2">
      <c r="A286" s="10">
        <v>225</v>
      </c>
      <c r="B286" s="1832"/>
      <c r="D286" s="2" t="str">
        <f t="shared" si="3"/>
        <v>OK</v>
      </c>
    </row>
    <row r="287" spans="1:4" x14ac:dyDescent="0.2">
      <c r="A287" s="5">
        <v>226</v>
      </c>
      <c r="B287" s="1832">
        <f>'Assets-Liab 5-6'!N37</f>
        <v>9115000</v>
      </c>
      <c r="C287" s="2" t="s">
        <v>569</v>
      </c>
      <c r="D287" s="2" t="str">
        <f t="shared" si="3"/>
        <v>Error?</v>
      </c>
    </row>
    <row r="288" spans="1:4" x14ac:dyDescent="0.2">
      <c r="A288" s="5">
        <v>227</v>
      </c>
      <c r="B288" s="1832">
        <f>'Assets-Liab 5-6'!N41</f>
        <v>9115000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30000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813809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19177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913018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54880</v>
      </c>
      <c r="D728" s="2" t="str">
        <f t="shared" si="10"/>
        <v>Error?</v>
      </c>
    </row>
    <row r="729" spans="1:4" x14ac:dyDescent="0.2">
      <c r="A729" s="5">
        <v>668</v>
      </c>
      <c r="B729" s="1832">
        <f>'Expenditures 15-22'!C45</f>
        <v>50153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105033</v>
      </c>
      <c r="C731" s="2" t="s">
        <v>569</v>
      </c>
      <c r="D731" s="2" t="str">
        <f t="shared" si="10"/>
        <v>Error?</v>
      </c>
    </row>
    <row r="732" spans="1:4" x14ac:dyDescent="0.2">
      <c r="A732" s="5">
        <v>671</v>
      </c>
      <c r="B732" s="1832">
        <f>'Expenditures 15-22'!C49</f>
        <v>6692</v>
      </c>
      <c r="D732" s="2" t="str">
        <f t="shared" si="10"/>
        <v>Error?</v>
      </c>
    </row>
    <row r="733" spans="1:4" x14ac:dyDescent="0.2">
      <c r="A733" s="5">
        <v>672</v>
      </c>
      <c r="B733" s="1832">
        <f>'Expenditures 15-22'!C50</f>
        <v>96208</v>
      </c>
      <c r="D733" s="2" t="str">
        <f t="shared" si="10"/>
        <v>Error?</v>
      </c>
    </row>
    <row r="734" spans="1:4" x14ac:dyDescent="0.2">
      <c r="A734" s="5">
        <v>673</v>
      </c>
      <c r="B734" s="1832">
        <f>'Expenditures 15-22'!C53</f>
        <v>102900</v>
      </c>
      <c r="C734" s="2" t="s">
        <v>569</v>
      </c>
      <c r="D734" s="2" t="str">
        <f t="shared" si="10"/>
        <v>Error?</v>
      </c>
    </row>
    <row r="735" spans="1:4" x14ac:dyDescent="0.2">
      <c r="A735" s="5">
        <v>674</v>
      </c>
      <c r="B735" s="1832">
        <f>'Expenditures 15-22'!C55</f>
        <v>133925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133925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56571</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7227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63798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405656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1318674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254198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3699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272952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17659</v>
      </c>
      <c r="D786" s="2" t="str">
        <f t="shared" si="11"/>
        <v>Error?</v>
      </c>
    </row>
    <row r="787" spans="1:4" x14ac:dyDescent="0.2">
      <c r="A787" s="5">
        <v>726</v>
      </c>
      <c r="B787" s="1832">
        <f>'Expenditures 15-22'!D45</f>
        <v>12916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30575</v>
      </c>
      <c r="C789" s="2" t="s">
        <v>569</v>
      </c>
      <c r="D789" s="2" t="str">
        <f t="shared" si="11"/>
        <v>Error?</v>
      </c>
    </row>
    <row r="790" spans="1:4" x14ac:dyDescent="0.2">
      <c r="A790" s="5">
        <v>729</v>
      </c>
      <c r="B790" s="1832">
        <f>'Expenditures 15-22'!D49</f>
        <v>209</v>
      </c>
      <c r="D790" s="2" t="str">
        <f t="shared" si="11"/>
        <v>Error?</v>
      </c>
    </row>
    <row r="791" spans="1:4" x14ac:dyDescent="0.2">
      <c r="A791" s="5">
        <v>730</v>
      </c>
      <c r="B791" s="1832">
        <f>'Expenditures 15-22'!D50</f>
        <v>50375</v>
      </c>
      <c r="D791" s="2" t="str">
        <f t="shared" si="11"/>
        <v>Error?</v>
      </c>
    </row>
    <row r="792" spans="1:4" x14ac:dyDescent="0.2">
      <c r="A792" s="5">
        <v>731</v>
      </c>
      <c r="B792" s="1832">
        <f>'Expenditures 15-22'!D53</f>
        <v>50584</v>
      </c>
      <c r="C792" s="2" t="s">
        <v>569</v>
      </c>
      <c r="D792" s="2" t="str">
        <f t="shared" si="11"/>
        <v>Error?</v>
      </c>
    </row>
    <row r="793" spans="1:4" x14ac:dyDescent="0.2">
      <c r="A793" s="5">
        <v>732</v>
      </c>
      <c r="B793" s="1832">
        <f>'Expenditures 15-22'!D55</f>
        <v>39552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39552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12893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12893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133604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406556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12043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9495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23244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11734</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11734</v>
      </c>
      <c r="C843" s="2" t="s">
        <v>569</v>
      </c>
      <c r="D843" s="2" t="str">
        <f t="shared" si="12"/>
        <v>Error?</v>
      </c>
    </row>
    <row r="844" spans="1:4" x14ac:dyDescent="0.2">
      <c r="A844" s="5">
        <v>783</v>
      </c>
      <c r="B844" s="1832">
        <f>'Expenditures 15-22'!E44</f>
        <v>2468</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2468</v>
      </c>
      <c r="C847" s="2" t="s">
        <v>569</v>
      </c>
      <c r="D847" s="2" t="str">
        <f t="shared" si="12"/>
        <v>Error?</v>
      </c>
    </row>
    <row r="848" spans="1:4" x14ac:dyDescent="0.2">
      <c r="A848" s="5">
        <v>787</v>
      </c>
      <c r="B848" s="1832">
        <f>'Expenditures 15-22'!E49</f>
        <v>40168</v>
      </c>
      <c r="D848" s="2" t="str">
        <f t="shared" si="12"/>
        <v>Error?</v>
      </c>
    </row>
    <row r="849" spans="1:4" x14ac:dyDescent="0.2">
      <c r="A849" s="5">
        <v>788</v>
      </c>
      <c r="B849" s="1832">
        <f>'Expenditures 15-22'!E50</f>
        <v>2637</v>
      </c>
      <c r="D849" s="2" t="str">
        <f t="shared" si="12"/>
        <v>Error?</v>
      </c>
    </row>
    <row r="850" spans="1:4" x14ac:dyDescent="0.2">
      <c r="A850" s="5">
        <v>789</v>
      </c>
      <c r="B850" s="1832">
        <f>'Expenditures 15-22'!E53</f>
        <v>42805</v>
      </c>
      <c r="C850" s="2" t="s">
        <v>569</v>
      </c>
      <c r="D850" s="2" t="str">
        <f t="shared" si="12"/>
        <v>Error?</v>
      </c>
    </row>
    <row r="851" spans="1:4" x14ac:dyDescent="0.2">
      <c r="A851" s="5">
        <v>790</v>
      </c>
      <c r="B851" s="1832">
        <f>'Expenditures 15-22'!E55</f>
        <v>338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338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188</v>
      </c>
      <c r="D855" s="2" t="str">
        <f t="shared" si="12"/>
        <v>Error?</v>
      </c>
    </row>
    <row r="856" spans="1:4" x14ac:dyDescent="0.2">
      <c r="A856" s="5">
        <v>795</v>
      </c>
      <c r="B856" s="1832">
        <f>'Expenditures 15-22'!E61</f>
        <v>11171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11359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404</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404</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69108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199014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112417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8987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168069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61</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61</v>
      </c>
      <c r="C901" s="2" t="s">
        <v>569</v>
      </c>
      <c r="D901" s="2" t="str">
        <f t="shared" si="13"/>
        <v>Error?</v>
      </c>
    </row>
    <row r="902" spans="1:4" x14ac:dyDescent="0.2">
      <c r="A902" s="5">
        <v>841</v>
      </c>
      <c r="B902" s="1832">
        <f>'Expenditures 15-22'!F44</f>
        <v>677</v>
      </c>
      <c r="D902" s="2" t="str">
        <f t="shared" si="13"/>
        <v>Error?</v>
      </c>
    </row>
    <row r="903" spans="1:4" x14ac:dyDescent="0.2">
      <c r="A903" s="5">
        <v>842</v>
      </c>
      <c r="B903" s="1832">
        <f>'Expenditures 15-22'!F45</f>
        <v>1413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2090</v>
      </c>
      <c r="C905" s="2" t="s">
        <v>569</v>
      </c>
      <c r="D905" s="2" t="str">
        <f t="shared" si="13"/>
        <v>Error?</v>
      </c>
    </row>
    <row r="906" spans="1:4" x14ac:dyDescent="0.2">
      <c r="A906" s="5">
        <v>845</v>
      </c>
      <c r="B906" s="1832">
        <f>'Expenditures 15-22'!F49</f>
        <v>1213</v>
      </c>
      <c r="D906" s="2" t="str">
        <f t="shared" si="13"/>
        <v>Error?</v>
      </c>
    </row>
    <row r="907" spans="1:4" x14ac:dyDescent="0.2">
      <c r="A907" s="5">
        <v>846</v>
      </c>
      <c r="B907" s="1832">
        <f>'Expenditures 15-22'!F50</f>
        <v>24</v>
      </c>
      <c r="D907" s="2" t="str">
        <f t="shared" si="13"/>
        <v>Error?</v>
      </c>
    </row>
    <row r="908" spans="1:4" x14ac:dyDescent="0.2">
      <c r="A908" s="5">
        <v>847</v>
      </c>
      <c r="B908" s="1832">
        <f>'Expenditures 15-22'!F53</f>
        <v>1237</v>
      </c>
      <c r="C908" s="2" t="s">
        <v>569</v>
      </c>
      <c r="D908" s="2" t="str">
        <f t="shared" si="13"/>
        <v>Error?</v>
      </c>
    </row>
    <row r="909" spans="1:4" x14ac:dyDescent="0.2">
      <c r="A909" s="5">
        <v>848</v>
      </c>
      <c r="B909" s="1832">
        <f>'Expenditures 15-22'!F55</f>
        <v>1059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1059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1270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8846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10116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14563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182632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233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200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37101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59</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59</v>
      </c>
      <c r="C1021" s="2" t="s">
        <v>569</v>
      </c>
      <c r="D1021" s="2" t="str">
        <f t="shared" si="14"/>
        <v>Error?</v>
      </c>
    </row>
    <row r="1022" spans="1:4" x14ac:dyDescent="0.2">
      <c r="A1022" s="5">
        <v>961</v>
      </c>
      <c r="B1022" s="1832">
        <f>'Expenditures 15-22'!H49</f>
        <v>1582</v>
      </c>
      <c r="D1022" s="2" t="str">
        <f t="shared" si="14"/>
        <v>Error?</v>
      </c>
    </row>
    <row r="1023" spans="1:4" x14ac:dyDescent="0.2">
      <c r="A1023" s="5">
        <v>962</v>
      </c>
      <c r="B1023" s="1832">
        <f>'Expenditures 15-22'!H50</f>
        <v>1514</v>
      </c>
      <c r="D1023" s="2" t="str">
        <f t="shared" ref="D1023:D1086" si="15">IF(ISBLANK(B1023),"OK",IF(A1023-B1023=0,"OK","Error?"))</f>
        <v>Error?</v>
      </c>
    </row>
    <row r="1024" spans="1:4" x14ac:dyDescent="0.2">
      <c r="A1024" s="5">
        <v>963</v>
      </c>
      <c r="B1024" s="1832">
        <f>'Expenditures 15-22'!H53</f>
        <v>3096</v>
      </c>
      <c r="C1024" s="2" t="s">
        <v>569</v>
      </c>
      <c r="D1024" s="2" t="str">
        <f t="shared" si="15"/>
        <v>Error?</v>
      </c>
    </row>
    <row r="1025" spans="1:4" x14ac:dyDescent="0.2">
      <c r="A1025" s="5">
        <v>964</v>
      </c>
      <c r="B1025" s="1832">
        <f>'Expenditures 15-22'!H55</f>
        <v>325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325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3480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53852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94433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1192700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41558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1414384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11795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11795</v>
      </c>
      <c r="C1115" s="2" t="s">
        <v>569</v>
      </c>
      <c r="D1115" s="2" t="str">
        <f t="shared" si="16"/>
        <v>Error?</v>
      </c>
    </row>
    <row r="1116" spans="1:4" x14ac:dyDescent="0.2">
      <c r="A1116" s="5">
        <v>1055</v>
      </c>
      <c r="B1116" s="1832">
        <f>'Expenditures 15-22'!K44</f>
        <v>75743</v>
      </c>
      <c r="C1116" s="2" t="s">
        <v>569</v>
      </c>
      <c r="D1116" s="2" t="str">
        <f t="shared" si="16"/>
        <v>Error?</v>
      </c>
    </row>
    <row r="1117" spans="1:4" x14ac:dyDescent="0.2">
      <c r="A1117" s="5">
        <v>1056</v>
      </c>
      <c r="B1117" s="1832">
        <f>'Expenditures 15-22'!K45</f>
        <v>64482</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140225</v>
      </c>
      <c r="C1119" s="2" t="s">
        <v>569</v>
      </c>
      <c r="D1119" s="2" t="str">
        <f t="shared" si="16"/>
        <v>Error?</v>
      </c>
    </row>
    <row r="1120" spans="1:4" x14ac:dyDescent="0.2">
      <c r="A1120" s="5">
        <v>1059</v>
      </c>
      <c r="B1120" s="1832">
        <f>'Expenditures 15-22'!K49</f>
        <v>49864</v>
      </c>
      <c r="C1120" s="2" t="s">
        <v>569</v>
      </c>
      <c r="D1120" s="2" t="str">
        <f t="shared" si="16"/>
        <v>Error?</v>
      </c>
    </row>
    <row r="1121" spans="1:4" x14ac:dyDescent="0.2">
      <c r="A1121" s="5">
        <v>1060</v>
      </c>
      <c r="B1121" s="1832">
        <f>'Expenditures 15-22'!K50</f>
        <v>150758</v>
      </c>
      <c r="C1121" s="2" t="s">
        <v>569</v>
      </c>
      <c r="D1121" s="2" t="str">
        <f t="shared" si="16"/>
        <v>Error?</v>
      </c>
    </row>
    <row r="1122" spans="1:4" x14ac:dyDescent="0.2">
      <c r="A1122" s="5">
        <v>1061</v>
      </c>
      <c r="B1122" s="1832">
        <f>'Expenditures 15-22'!K53</f>
        <v>200622</v>
      </c>
      <c r="C1122" s="2" t="s">
        <v>569</v>
      </c>
      <c r="D1122" s="2" t="str">
        <f t="shared" si="16"/>
        <v>Error?</v>
      </c>
    </row>
    <row r="1123" spans="1:4" x14ac:dyDescent="0.2">
      <c r="A1123" s="5">
        <v>1062</v>
      </c>
      <c r="B1123" s="1832">
        <f>'Expenditures 15-22'!K55</f>
        <v>175199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175199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70922</v>
      </c>
      <c r="C1127" s="2" t="s">
        <v>569</v>
      </c>
      <c r="D1127" s="2" t="str">
        <f t="shared" si="16"/>
        <v>Error?</v>
      </c>
    </row>
    <row r="1128" spans="1:4" x14ac:dyDescent="0.2">
      <c r="A1128" s="5">
        <v>1067</v>
      </c>
      <c r="B1128" s="1832">
        <f>'Expenditures 15-22'!K61</f>
        <v>11171</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16073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98166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404</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404</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626411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160514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2201309</v>
      </c>
      <c r="C1152" s="2" t="s">
        <v>569</v>
      </c>
      <c r="D1152" s="2" t="str">
        <f t="shared" si="17"/>
        <v>Error?</v>
      </c>
    </row>
    <row r="1153" spans="1:4" x14ac:dyDescent="0.2">
      <c r="A1153" s="5">
        <v>1092</v>
      </c>
      <c r="B1153" s="1832">
        <f>'Expenditures 15-22'!K115</f>
        <v>-73434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67646</v>
      </c>
      <c r="D1221" s="2" t="str">
        <f t="shared" si="18"/>
        <v>Error?</v>
      </c>
    </row>
    <row r="1222" spans="1:4" x14ac:dyDescent="0.2">
      <c r="A1222" s="10">
        <v>1161</v>
      </c>
      <c r="B1222" s="1832"/>
      <c r="D1222" s="2" t="str">
        <f t="shared" si="18"/>
        <v>OK</v>
      </c>
    </row>
    <row r="1223" spans="1:4" x14ac:dyDescent="0.2">
      <c r="A1223" s="5">
        <v>1162</v>
      </c>
      <c r="B1223" s="1832">
        <f>'Expenditures 15-22'!C127</f>
        <v>67646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67646</v>
      </c>
      <c r="C1225" s="2" t="s">
        <v>569</v>
      </c>
      <c r="D1225" s="2" t="str">
        <f t="shared" si="18"/>
        <v>Error?</v>
      </c>
    </row>
    <row r="1226" spans="1:4" x14ac:dyDescent="0.2">
      <c r="A1226" s="5">
        <v>1165</v>
      </c>
      <c r="B1226" s="1832">
        <f>'Expenditures 15-22'!C151</f>
        <v>67646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4881</v>
      </c>
      <c r="D1229" s="2" t="str">
        <f t="shared" si="18"/>
        <v>Error?</v>
      </c>
    </row>
    <row r="1230" spans="1:4" x14ac:dyDescent="0.2">
      <c r="A1230" s="10">
        <v>1169</v>
      </c>
      <c r="B1230" s="1832"/>
      <c r="D1230" s="2" t="str">
        <f t="shared" si="18"/>
        <v>OK</v>
      </c>
    </row>
    <row r="1231" spans="1:4" x14ac:dyDescent="0.2">
      <c r="A1231" s="5">
        <v>1170</v>
      </c>
      <c r="B1231" s="1832">
        <f>'Expenditures 15-22'!D127</f>
        <v>4881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4881</v>
      </c>
      <c r="C1233" s="2" t="s">
        <v>569</v>
      </c>
      <c r="D1233" s="2" t="str">
        <f t="shared" si="18"/>
        <v>Error?</v>
      </c>
    </row>
    <row r="1234" spans="1:4" x14ac:dyDescent="0.2">
      <c r="A1234" s="5">
        <v>1173</v>
      </c>
      <c r="B1234" s="1832">
        <f>'Expenditures 15-22'!D151</f>
        <v>4881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21272</v>
      </c>
      <c r="D1237" s="2" t="str">
        <f t="shared" si="18"/>
        <v>Error?</v>
      </c>
    </row>
    <row r="1238" spans="1:4" x14ac:dyDescent="0.2">
      <c r="A1238" s="10">
        <v>1177</v>
      </c>
      <c r="B1238" s="1832"/>
      <c r="D1238" s="2" t="str">
        <f t="shared" si="18"/>
        <v>OK</v>
      </c>
    </row>
    <row r="1239" spans="1:4" x14ac:dyDescent="0.2">
      <c r="A1239" s="5">
        <v>1178</v>
      </c>
      <c r="B1239" s="1832">
        <f>'Expenditures 15-22'!E127</f>
        <v>21272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21272</v>
      </c>
      <c r="C1241" s="2" t="s">
        <v>569</v>
      </c>
      <c r="D1241" s="2" t="str">
        <f t="shared" si="18"/>
        <v>Error?</v>
      </c>
    </row>
    <row r="1242" spans="1:4" x14ac:dyDescent="0.2">
      <c r="A1242" s="5">
        <v>1181</v>
      </c>
      <c r="B1242" s="1832">
        <f>'Expenditures 15-22'!E151</f>
        <v>21272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63655</v>
      </c>
      <c r="D1245" s="2" t="str">
        <f t="shared" si="18"/>
        <v>Error?</v>
      </c>
    </row>
    <row r="1246" spans="1:4" x14ac:dyDescent="0.2">
      <c r="A1246" s="10">
        <v>1185</v>
      </c>
      <c r="B1246" s="1832"/>
      <c r="D1246" s="2" t="str">
        <f t="shared" si="18"/>
        <v>OK</v>
      </c>
    </row>
    <row r="1247" spans="1:4" x14ac:dyDescent="0.2">
      <c r="A1247" s="5">
        <v>1186</v>
      </c>
      <c r="B1247" s="1832">
        <f>'Expenditures 15-22'!F127</f>
        <v>63655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63655</v>
      </c>
      <c r="C1249" s="2" t="s">
        <v>569</v>
      </c>
      <c r="D1249" s="2" t="str">
        <f t="shared" si="18"/>
        <v>Error?</v>
      </c>
    </row>
    <row r="1250" spans="1:4" x14ac:dyDescent="0.2">
      <c r="A1250" s="5">
        <v>1189</v>
      </c>
      <c r="B1250" s="1832">
        <f>'Expenditures 15-22'!F151</f>
        <v>63655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140532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140532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140532</v>
      </c>
      <c r="C1258" s="2" t="s">
        <v>569</v>
      </c>
      <c r="D1258" s="2" t="str">
        <f t="shared" si="18"/>
        <v>Error?</v>
      </c>
    </row>
    <row r="1259" spans="1:4" x14ac:dyDescent="0.2">
      <c r="A1259" s="5">
        <v>1198</v>
      </c>
      <c r="B1259" s="1832">
        <f>'Expenditures 15-22'!G151</f>
        <v>140532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297986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297986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297986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297986</v>
      </c>
      <c r="C1288" s="2" t="s">
        <v>569</v>
      </c>
      <c r="D1288" s="2" t="str">
        <f t="shared" si="19"/>
        <v>Error?</v>
      </c>
    </row>
    <row r="1289" spans="1:4" x14ac:dyDescent="0.2">
      <c r="A1289" s="5">
        <v>1228</v>
      </c>
      <c r="B1289" s="1832">
        <f>'Expenditures 15-22'!K152</f>
        <v>-102241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367100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125000</v>
      </c>
      <c r="D1315" s="2" t="str">
        <f t="shared" si="19"/>
        <v>Error?</v>
      </c>
    </row>
    <row r="1316" spans="1:4" x14ac:dyDescent="0.2">
      <c r="A1316" s="5">
        <v>1255</v>
      </c>
      <c r="B1316" s="1832">
        <f>'Expenditures 15-22'!H171</f>
        <v>450</v>
      </c>
      <c r="D1316" s="2" t="str">
        <f t="shared" si="19"/>
        <v>Error?</v>
      </c>
    </row>
    <row r="1317" spans="1:4" x14ac:dyDescent="0.2">
      <c r="A1317" s="5">
        <v>1256</v>
      </c>
      <c r="B1317" s="1832">
        <f>'Expenditures 15-22'!H172</f>
        <v>492550</v>
      </c>
      <c r="C1317" s="2" t="s">
        <v>569</v>
      </c>
      <c r="D1317" s="2" t="str">
        <f t="shared" si="19"/>
        <v>Error?</v>
      </c>
    </row>
    <row r="1318" spans="1:4" x14ac:dyDescent="0.2">
      <c r="A1318" s="5">
        <v>1257</v>
      </c>
      <c r="B1318" s="1832">
        <f>'Expenditures 15-22'!H174</f>
        <v>492550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367100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125000</v>
      </c>
      <c r="C1329" s="2" t="s">
        <v>569</v>
      </c>
      <c r="D1329" s="2" t="str">
        <f t="shared" si="19"/>
        <v>Error?</v>
      </c>
    </row>
    <row r="1330" spans="1:4" x14ac:dyDescent="0.2">
      <c r="A1330" s="5">
        <v>1269</v>
      </c>
      <c r="B1330" s="1832">
        <f>'Expenditures 15-22'!K171</f>
        <v>450</v>
      </c>
      <c r="C1330" s="2" t="s">
        <v>569</v>
      </c>
      <c r="D1330" s="2" t="str">
        <f t="shared" si="19"/>
        <v>Error?</v>
      </c>
    </row>
    <row r="1331" spans="1:4" x14ac:dyDescent="0.2">
      <c r="A1331" s="5">
        <v>1270</v>
      </c>
      <c r="B1331" s="1832">
        <f>'Expenditures 15-22'!K172</f>
        <v>492550</v>
      </c>
      <c r="C1331" s="2" t="s">
        <v>569</v>
      </c>
      <c r="D1331" s="2" t="str">
        <f t="shared" si="19"/>
        <v>Error?</v>
      </c>
    </row>
    <row r="1332" spans="1:4" x14ac:dyDescent="0.2">
      <c r="A1332" s="5">
        <v>1271</v>
      </c>
      <c r="B1332" s="1832">
        <f>'Expenditures 15-22'!K174</f>
        <v>492550</v>
      </c>
      <c r="C1332" s="2" t="s">
        <v>569</v>
      </c>
      <c r="D1332" s="2" t="str">
        <f t="shared" si="19"/>
        <v>Error?</v>
      </c>
    </row>
    <row r="1333" spans="1:4" x14ac:dyDescent="0.2">
      <c r="A1333" s="5">
        <v>1272</v>
      </c>
      <c r="B1333" s="1832">
        <f>'Expenditures 15-22'!K175</f>
        <v>467195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204554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204554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204554</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204554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204554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204554</v>
      </c>
      <c r="C1388" s="2" t="s">
        <v>569</v>
      </c>
      <c r="D1388" s="2" t="str">
        <f t="shared" si="20"/>
        <v>Error?</v>
      </c>
    </row>
    <row r="1389" spans="1:4" x14ac:dyDescent="0.2">
      <c r="A1389" s="5">
        <v>1328</v>
      </c>
      <c r="B1389" s="1832">
        <f>'Expenditures 15-22'!K211</f>
        <v>4733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1053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28414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864</v>
      </c>
      <c r="D1418" s="2" t="str">
        <f t="shared" si="21"/>
        <v>Error?</v>
      </c>
    </row>
    <row r="1419" spans="1:4" x14ac:dyDescent="0.2">
      <c r="A1419" s="5">
        <v>1358</v>
      </c>
      <c r="B1419" s="1832">
        <f>'Expenditures 15-22'!D241</f>
        <v>8789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9653</v>
      </c>
      <c r="C1421" s="2" t="s">
        <v>569</v>
      </c>
      <c r="D1421" s="2" t="str">
        <f t="shared" si="21"/>
        <v>Error?</v>
      </c>
    </row>
    <row r="1422" spans="1:4" x14ac:dyDescent="0.2">
      <c r="A1422" s="5">
        <v>1361</v>
      </c>
      <c r="B1422" s="1832">
        <f>'Expenditures 15-22'!D245</f>
        <v>957</v>
      </c>
      <c r="D1422" s="2" t="str">
        <f t="shared" si="21"/>
        <v>Error?</v>
      </c>
    </row>
    <row r="1423" spans="1:4" x14ac:dyDescent="0.2">
      <c r="A1423" s="5">
        <v>1362</v>
      </c>
      <c r="B1423" s="1832">
        <f>'Expenditures 15-22'!D246</f>
        <v>1668</v>
      </c>
      <c r="D1423" s="2" t="str">
        <f t="shared" si="21"/>
        <v>Error?</v>
      </c>
    </row>
    <row r="1424" spans="1:4" x14ac:dyDescent="0.2">
      <c r="A1424" s="5">
        <v>1363</v>
      </c>
      <c r="B1424" s="1832">
        <f>'Expenditures 15-22'!D257</f>
        <v>2625</v>
      </c>
      <c r="C1424" s="2" t="s">
        <v>569</v>
      </c>
      <c r="D1424" s="2" t="str">
        <f t="shared" si="21"/>
        <v>Error?</v>
      </c>
    </row>
    <row r="1425" spans="1:4" x14ac:dyDescent="0.2">
      <c r="A1425" s="5">
        <v>1364</v>
      </c>
      <c r="B1425" s="1832">
        <f>'Expenditures 15-22'!D259</f>
        <v>11731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11731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9821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14861</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1372</v>
      </c>
      <c r="D1433" s="2" t="str">
        <f t="shared" si="21"/>
        <v>OK</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26054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50063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78477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1053</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28414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864</v>
      </c>
      <c r="C1482" s="2" t="s">
        <v>569</v>
      </c>
      <c r="D1482" s="2" t="str">
        <f t="shared" si="22"/>
        <v>Error?</v>
      </c>
    </row>
    <row r="1483" spans="1:4" x14ac:dyDescent="0.2">
      <c r="A1483" s="5">
        <v>1422</v>
      </c>
      <c r="B1483" s="1832">
        <f>'Expenditures 15-22'!K241</f>
        <v>8789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9653</v>
      </c>
      <c r="C1485" s="2" t="s">
        <v>569</v>
      </c>
      <c r="D1485" s="2" t="str">
        <f t="shared" si="22"/>
        <v>Error?</v>
      </c>
    </row>
    <row r="1486" spans="1:4" x14ac:dyDescent="0.2">
      <c r="A1486" s="5">
        <v>1425</v>
      </c>
      <c r="B1486" s="1832">
        <f>'Expenditures 15-22'!K245</f>
        <v>957</v>
      </c>
      <c r="C1486" s="2" t="s">
        <v>569</v>
      </c>
      <c r="D1486" s="2" t="str">
        <f t="shared" si="22"/>
        <v>Error?</v>
      </c>
    </row>
    <row r="1487" spans="1:4" x14ac:dyDescent="0.2">
      <c r="A1487" s="5">
        <v>1426</v>
      </c>
      <c r="B1487" s="1832">
        <f>'Expenditures 15-22'!K246</f>
        <v>1668</v>
      </c>
      <c r="C1487" s="2" t="s">
        <v>569</v>
      </c>
      <c r="D1487" s="2" t="str">
        <f t="shared" si="22"/>
        <v>Error?</v>
      </c>
    </row>
    <row r="1488" spans="1:4" x14ac:dyDescent="0.2">
      <c r="A1488" s="5">
        <v>1427</v>
      </c>
      <c r="B1488" s="1832">
        <f>'Expenditures 15-22'!K257</f>
        <v>2625</v>
      </c>
      <c r="C1488" s="2" t="s">
        <v>569</v>
      </c>
      <c r="D1488" s="2" t="str">
        <f t="shared" si="22"/>
        <v>Error?</v>
      </c>
    </row>
    <row r="1489" spans="1:4" x14ac:dyDescent="0.2">
      <c r="A1489" s="5">
        <v>1428</v>
      </c>
      <c r="B1489" s="1832">
        <f>'Expenditures 15-22'!K259</f>
        <v>11731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11731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9821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14861</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1372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26054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50063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78477</v>
      </c>
      <c r="C1517" s="2" t="s">
        <v>569</v>
      </c>
      <c r="D1517" s="2" t="str">
        <f t="shared" si="22"/>
        <v>Error?</v>
      </c>
    </row>
    <row r="1518" spans="1:4" x14ac:dyDescent="0.2">
      <c r="A1518" s="5">
        <v>1457</v>
      </c>
      <c r="B1518" s="1832">
        <f>'Expenditures 15-22'!K296</f>
        <v>10575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1569768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1569768</v>
      </c>
      <c r="C1547" s="2" t="s">
        <v>569</v>
      </c>
      <c r="D1547" s="2" t="str">
        <f t="shared" si="23"/>
        <v>Error?</v>
      </c>
    </row>
    <row r="1548" spans="1:4" x14ac:dyDescent="0.2">
      <c r="A1548" s="5">
        <v>1487</v>
      </c>
      <c r="B1548" s="1832">
        <f>'Expenditures 15-22'!G312</f>
        <v>1569768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1569768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1569768</v>
      </c>
      <c r="C1559" s="2" t="s">
        <v>569</v>
      </c>
      <c r="D1559" s="2" t="str">
        <f t="shared" si="23"/>
        <v>Error?</v>
      </c>
    </row>
    <row r="1560" spans="1:4" x14ac:dyDescent="0.2">
      <c r="A1560" s="5">
        <v>1499</v>
      </c>
      <c r="B1560" s="1832">
        <f>'Expenditures 15-22'!K312</f>
        <v>1569768</v>
      </c>
      <c r="C1560" s="2" t="s">
        <v>569</v>
      </c>
      <c r="D1560" s="2" t="str">
        <f t="shared" si="23"/>
        <v>Error?</v>
      </c>
    </row>
    <row r="1561" spans="1:4" x14ac:dyDescent="0.2">
      <c r="A1561" s="5">
        <v>1500</v>
      </c>
      <c r="B1561" s="1832">
        <f>'Expenditures 15-22'!K313</f>
        <v>-1545374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2127278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2083844</v>
      </c>
      <c r="C1630" s="2" t="s">
        <v>569</v>
      </c>
      <c r="D1630" s="2" t="str">
        <f t="shared" si="24"/>
        <v>Error?</v>
      </c>
    </row>
    <row r="1631" spans="1:4" x14ac:dyDescent="0.2">
      <c r="A1631" s="5">
        <v>1570</v>
      </c>
      <c r="B1631" s="1832">
        <f>'Acct Summary 7-8'!D79</f>
        <v>731823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634147</v>
      </c>
      <c r="C1644" s="2" t="s">
        <v>569</v>
      </c>
      <c r="D1644" s="2" t="str">
        <f t="shared" si="24"/>
        <v>Error?</v>
      </c>
    </row>
    <row r="1645" spans="1:4" x14ac:dyDescent="0.2">
      <c r="A1645" s="5">
        <v>1584</v>
      </c>
      <c r="B1645" s="1832">
        <f>'Acct Summary 7-8'!E79</f>
        <v>760356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1227551</v>
      </c>
      <c r="C1658" s="2" t="s">
        <v>569</v>
      </c>
      <c r="D1658" s="2" t="str">
        <f t="shared" si="24"/>
        <v>Error?</v>
      </c>
    </row>
    <row r="1659" spans="1:4" x14ac:dyDescent="0.2">
      <c r="A1659" s="5">
        <v>1598</v>
      </c>
      <c r="B1659" s="1832">
        <f>'Acct Summary 7-8'!F79</f>
        <v>117698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122431</v>
      </c>
      <c r="C1672" s="2" t="s">
        <v>569</v>
      </c>
      <c r="D1672" s="2" t="str">
        <f t="shared" si="25"/>
        <v>Error?</v>
      </c>
    </row>
    <row r="1673" spans="1:4" x14ac:dyDescent="0.2">
      <c r="A1673" s="5">
        <v>1612</v>
      </c>
      <c r="B1673" s="1832">
        <f>'Acct Summary 7-8'!G79</f>
        <v>199788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210363</v>
      </c>
      <c r="C1686" s="2" t="s">
        <v>569</v>
      </c>
      <c r="D1686" s="2" t="str">
        <f t="shared" si="25"/>
        <v>Error?</v>
      </c>
    </row>
    <row r="1687" spans="1:4" x14ac:dyDescent="0.2">
      <c r="A1687" s="5">
        <v>1626</v>
      </c>
      <c r="B1687" s="1832">
        <f>'Acct Summary 7-8'!H79</f>
        <v>2148094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601220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1475543</v>
      </c>
      <c r="C1744" s="2" t="s">
        <v>569</v>
      </c>
      <c r="D1744" s="2" t="str">
        <f t="shared" si="26"/>
        <v>Error?</v>
      </c>
    </row>
    <row r="1745" spans="1:5" x14ac:dyDescent="0.2">
      <c r="A1745" s="5">
        <v>1684</v>
      </c>
      <c r="B1745" s="1832">
        <f>'Tax Sched 23'!B5</f>
        <v>185370</v>
      </c>
      <c r="C1745" s="2" t="s">
        <v>569</v>
      </c>
      <c r="D1745" s="2" t="str">
        <f t="shared" si="26"/>
        <v>Error?</v>
      </c>
    </row>
    <row r="1746" spans="1:5" x14ac:dyDescent="0.2">
      <c r="A1746" s="5">
        <v>1685</v>
      </c>
      <c r="B1746" s="1832">
        <f>'Tax Sched 23'!B6</f>
        <v>144388</v>
      </c>
      <c r="C1746" s="2" t="s">
        <v>569</v>
      </c>
      <c r="D1746" s="2" t="str">
        <f t="shared" si="26"/>
        <v>Error?</v>
      </c>
    </row>
    <row r="1747" spans="1:5" x14ac:dyDescent="0.2">
      <c r="A1747" s="5">
        <v>1686</v>
      </c>
      <c r="B1747" s="1832">
        <f>'Tax Sched 23'!B7</f>
        <v>88977</v>
      </c>
      <c r="C1747" s="2" t="s">
        <v>569</v>
      </c>
      <c r="D1747" s="2" t="str">
        <f t="shared" si="26"/>
        <v>Error?</v>
      </c>
    </row>
    <row r="1748" spans="1:5" x14ac:dyDescent="0.2">
      <c r="A1748" s="5">
        <v>1687</v>
      </c>
      <c r="B1748" s="1832">
        <f>'Tax Sched 23'!B8</f>
        <v>40084</v>
      </c>
      <c r="C1748" s="2" t="s">
        <v>569</v>
      </c>
      <c r="D1748" s="2" t="str">
        <f t="shared" si="26"/>
        <v>Error?</v>
      </c>
    </row>
    <row r="1749" spans="1:5" x14ac:dyDescent="0.2">
      <c r="A1749" s="5">
        <v>1688</v>
      </c>
      <c r="B1749" s="1832">
        <f>'Tax Sched 23'!B10</f>
        <v>37073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221435</v>
      </c>
      <c r="C1752" s="2" t="s">
        <v>569</v>
      </c>
      <c r="D1752" s="2" t="str">
        <f t="shared" si="26"/>
        <v>Error?</v>
      </c>
    </row>
    <row r="1753" spans="1:5" x14ac:dyDescent="0.2">
      <c r="A1753" s="5">
        <v>1692</v>
      </c>
      <c r="B1753" s="1832">
        <f>'Tax Sched 23'!B12</f>
        <v>37073</v>
      </c>
      <c r="C1753" s="2" t="s">
        <v>569</v>
      </c>
      <c r="D1753" s="2" t="str">
        <f t="shared" si="26"/>
        <v>Error?</v>
      </c>
    </row>
    <row r="1754" spans="1:5" x14ac:dyDescent="0.2">
      <c r="A1754" s="5">
        <v>1693</v>
      </c>
      <c r="B1754" s="1832">
        <f>'Tax Sched 23'!B14</f>
        <v>14829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2321929</v>
      </c>
      <c r="C1759" s="2" t="s">
        <v>569</v>
      </c>
      <c r="D1759" s="2" t="str">
        <f t="shared" si="26"/>
        <v>Error?</v>
      </c>
    </row>
    <row r="1760" spans="1:5" x14ac:dyDescent="0.2">
      <c r="A1760" s="5">
        <v>1699</v>
      </c>
      <c r="B1760" s="1832">
        <f>'Tax Sched 23'!D4</f>
        <v>1475543</v>
      </c>
      <c r="C1760" s="2" t="s">
        <v>569</v>
      </c>
      <c r="D1760" s="2" t="str">
        <f t="shared" si="26"/>
        <v>Error?</v>
      </c>
    </row>
    <row r="1761" spans="1:7" x14ac:dyDescent="0.2">
      <c r="A1761" s="5">
        <v>1700</v>
      </c>
      <c r="B1761" s="1832">
        <f>'Tax Sched 23'!D5</f>
        <v>185370</v>
      </c>
      <c r="C1761" s="2" t="s">
        <v>569</v>
      </c>
      <c r="D1761" s="2" t="str">
        <f t="shared" si="26"/>
        <v>Error?</v>
      </c>
    </row>
    <row r="1762" spans="1:7" s="8" customFormat="1" x14ac:dyDescent="0.2">
      <c r="A1762" s="5">
        <v>1701</v>
      </c>
      <c r="B1762" s="1832">
        <f>'Tax Sched 23'!D6</f>
        <v>144388</v>
      </c>
      <c r="C1762" s="2" t="s">
        <v>569</v>
      </c>
      <c r="D1762" s="2" t="str">
        <f t="shared" si="26"/>
        <v>Error?</v>
      </c>
      <c r="E1762" s="9"/>
      <c r="G1762"/>
    </row>
    <row r="1763" spans="1:7" x14ac:dyDescent="0.2">
      <c r="A1763" s="5">
        <v>1702</v>
      </c>
      <c r="B1763" s="1832">
        <f>'Tax Sched 23'!D7</f>
        <v>88977</v>
      </c>
      <c r="C1763" s="2" t="s">
        <v>569</v>
      </c>
      <c r="D1763" s="2" t="str">
        <f t="shared" si="26"/>
        <v>Error?</v>
      </c>
    </row>
    <row r="1764" spans="1:7" x14ac:dyDescent="0.2">
      <c r="A1764" s="5">
        <v>1703</v>
      </c>
      <c r="B1764" s="1832">
        <f>'Tax Sched 23'!D8</f>
        <v>40084</v>
      </c>
      <c r="C1764" s="2" t="s">
        <v>569</v>
      </c>
      <c r="D1764" s="2" t="str">
        <f t="shared" si="26"/>
        <v>Error?</v>
      </c>
    </row>
    <row r="1765" spans="1:7" x14ac:dyDescent="0.2">
      <c r="A1765" s="5">
        <v>1704</v>
      </c>
      <c r="B1765" s="1832">
        <f>'Tax Sched 23'!D10</f>
        <v>37073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221435</v>
      </c>
      <c r="C1768" s="2" t="s">
        <v>569</v>
      </c>
      <c r="D1768" s="2" t="str">
        <f t="shared" si="26"/>
        <v>Error?</v>
      </c>
    </row>
    <row r="1769" spans="1:7" x14ac:dyDescent="0.2">
      <c r="A1769" s="5">
        <v>1708</v>
      </c>
      <c r="B1769" s="1832">
        <f>'Tax Sched 23'!D12</f>
        <v>37073</v>
      </c>
      <c r="C1769" s="2" t="s">
        <v>569</v>
      </c>
      <c r="D1769" s="2" t="str">
        <f t="shared" si="26"/>
        <v>Error?</v>
      </c>
    </row>
    <row r="1770" spans="1:7" x14ac:dyDescent="0.2">
      <c r="A1770" s="5">
        <v>1709</v>
      </c>
      <c r="B1770" s="1832">
        <f>'Tax Sched 23'!D14</f>
        <v>14829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2321929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1615451</v>
      </c>
      <c r="C1792" s="2" t="s">
        <v>569</v>
      </c>
      <c r="D1792" s="2" t="str">
        <f t="shared" si="27"/>
        <v>Error?</v>
      </c>
    </row>
    <row r="1793" spans="1:4" x14ac:dyDescent="0.2">
      <c r="A1793" s="5">
        <v>1732</v>
      </c>
      <c r="B1793" s="1832">
        <f>'Tax Sched 23'!F5</f>
        <v>202946</v>
      </c>
      <c r="C1793" s="2" t="s">
        <v>569</v>
      </c>
      <c r="D1793" s="2" t="str">
        <f t="shared" si="27"/>
        <v>Error?</v>
      </c>
    </row>
    <row r="1794" spans="1:4" x14ac:dyDescent="0.2">
      <c r="A1794" s="5">
        <v>1733</v>
      </c>
      <c r="B1794" s="1832">
        <f>'Tax Sched 23'!F6</f>
        <v>144075</v>
      </c>
      <c r="C1794" s="2" t="s">
        <v>569</v>
      </c>
      <c r="D1794" s="2" t="str">
        <f t="shared" si="27"/>
        <v>Error?</v>
      </c>
    </row>
    <row r="1795" spans="1:4" x14ac:dyDescent="0.2">
      <c r="A1795" s="5">
        <v>1734</v>
      </c>
      <c r="B1795" s="1832">
        <f>'Tax Sched 23'!F7</f>
        <v>97414</v>
      </c>
      <c r="C1795" s="2" t="s">
        <v>569</v>
      </c>
      <c r="D1795" s="2" t="str">
        <f t="shared" si="27"/>
        <v>Error?</v>
      </c>
    </row>
    <row r="1796" spans="1:4" x14ac:dyDescent="0.2">
      <c r="A1796" s="5">
        <v>1735</v>
      </c>
      <c r="B1796" s="1832">
        <f>'Tax Sched 23'!F8</f>
        <v>38008</v>
      </c>
      <c r="C1796" s="2" t="s">
        <v>569</v>
      </c>
      <c r="D1796" s="2" t="str">
        <f t="shared" si="27"/>
        <v>Error?</v>
      </c>
    </row>
    <row r="1797" spans="1:4" x14ac:dyDescent="0.2">
      <c r="A1797" s="5">
        <v>1736</v>
      </c>
      <c r="B1797" s="1832">
        <f>'Tax Sched 23'!F10</f>
        <v>40589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250005</v>
      </c>
      <c r="C1800" s="2" t="s">
        <v>569</v>
      </c>
      <c r="D1800" s="2" t="str">
        <f t="shared" si="27"/>
        <v>Error?</v>
      </c>
    </row>
    <row r="1801" spans="1:4" x14ac:dyDescent="0.2">
      <c r="A1801" s="5">
        <v>1740</v>
      </c>
      <c r="B1801" s="1832">
        <f>'Tax Sched 23'!F12</f>
        <v>40589</v>
      </c>
      <c r="C1801" s="2" t="s">
        <v>569</v>
      </c>
      <c r="D1801" s="2" t="str">
        <f t="shared" si="27"/>
        <v>Error?</v>
      </c>
    </row>
    <row r="1802" spans="1:4" x14ac:dyDescent="0.2">
      <c r="A1802" s="5">
        <v>1741</v>
      </c>
      <c r="B1802" s="1832">
        <f>'Tax Sched 23'!F14</f>
        <v>16236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2523910</v>
      </c>
      <c r="C1807" s="2" t="s">
        <v>569</v>
      </c>
      <c r="D1807" s="2" t="str">
        <f t="shared" si="27"/>
        <v>Error?</v>
      </c>
    </row>
    <row r="1808" spans="1:4" x14ac:dyDescent="0.2">
      <c r="A1808" s="5">
        <v>1747</v>
      </c>
      <c r="B1808" s="1832">
        <f>'Tax Sched 23'!E4</f>
        <v>1615451</v>
      </c>
      <c r="D1808" s="2" t="str">
        <f t="shared" si="27"/>
        <v>Error?</v>
      </c>
    </row>
    <row r="1809" spans="1:4" x14ac:dyDescent="0.2">
      <c r="A1809" s="5">
        <v>1748</v>
      </c>
      <c r="B1809" s="1832">
        <f>'Tax Sched 23'!E5</f>
        <v>202946</v>
      </c>
      <c r="D1809" s="2" t="str">
        <f t="shared" si="27"/>
        <v>Error?</v>
      </c>
    </row>
    <row r="1810" spans="1:4" x14ac:dyDescent="0.2">
      <c r="A1810" s="5">
        <v>1749</v>
      </c>
      <c r="B1810" s="1832">
        <f>'Tax Sched 23'!E6</f>
        <v>144075</v>
      </c>
      <c r="D1810" s="2" t="str">
        <f t="shared" si="27"/>
        <v>Error?</v>
      </c>
    </row>
    <row r="1811" spans="1:4" x14ac:dyDescent="0.2">
      <c r="A1811" s="5">
        <v>1750</v>
      </c>
      <c r="B1811" s="1832">
        <f>'Tax Sched 23'!E7</f>
        <v>97414</v>
      </c>
      <c r="D1811" s="2" t="str">
        <f t="shared" si="27"/>
        <v>Error?</v>
      </c>
    </row>
    <row r="1812" spans="1:4" x14ac:dyDescent="0.2">
      <c r="A1812" s="5">
        <v>1751</v>
      </c>
      <c r="B1812" s="1832">
        <f>'Tax Sched 23'!E8</f>
        <v>38008</v>
      </c>
      <c r="D1812" s="2" t="str">
        <f t="shared" si="27"/>
        <v>Error?</v>
      </c>
    </row>
    <row r="1813" spans="1:4" x14ac:dyDescent="0.2">
      <c r="A1813" s="5">
        <v>1752</v>
      </c>
      <c r="B1813" s="1832">
        <f>'Tax Sched 23'!E10</f>
        <v>40589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250005</v>
      </c>
      <c r="D1816" s="2" t="str">
        <f t="shared" si="27"/>
        <v>Error?</v>
      </c>
    </row>
    <row r="1817" spans="1:4" x14ac:dyDescent="0.2">
      <c r="A1817" s="5">
        <v>1756</v>
      </c>
      <c r="B1817" s="1832">
        <f>'Tax Sched 23'!E12</f>
        <v>40589</v>
      </c>
      <c r="D1817" s="2" t="str">
        <f t="shared" si="27"/>
        <v>Error?</v>
      </c>
    </row>
    <row r="1818" spans="1:4" x14ac:dyDescent="0.2">
      <c r="A1818" s="5">
        <v>1757</v>
      </c>
      <c r="B1818" s="1832">
        <f>'Tax Sched 23'!E14</f>
        <v>16236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2523910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9240000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14829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14829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14829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294090</v>
      </c>
      <c r="D2008" s="2" t="str">
        <f t="shared" si="30"/>
        <v>Error?</v>
      </c>
    </row>
    <row r="2009" spans="1:4" x14ac:dyDescent="0.2">
      <c r="A2009" s="5">
        <v>1948</v>
      </c>
      <c r="B2009" s="1832">
        <f>'Cap Outlay Deprec 26'!C8</f>
        <v>3048390</v>
      </c>
      <c r="D2009" s="2" t="str">
        <f t="shared" si="30"/>
        <v>Error?</v>
      </c>
    </row>
    <row r="2010" spans="1:4" x14ac:dyDescent="0.2">
      <c r="A2010" s="5">
        <v>1949</v>
      </c>
      <c r="B2010" s="1832">
        <f>'Cap Outlay Deprec 26'!C10</f>
        <v>98440</v>
      </c>
      <c r="D2010" s="2" t="str">
        <f t="shared" si="30"/>
        <v>Error?</v>
      </c>
    </row>
    <row r="2011" spans="1:4" x14ac:dyDescent="0.2">
      <c r="A2011" s="5">
        <v>1950</v>
      </c>
      <c r="B2011" s="1832">
        <f>'Cap Outlay Deprec 26'!C12</f>
        <v>369453</v>
      </c>
      <c r="D2011" s="2" t="str">
        <f t="shared" si="30"/>
        <v>Error?</v>
      </c>
    </row>
    <row r="2012" spans="1:4" x14ac:dyDescent="0.2">
      <c r="A2012" s="5">
        <v>1951</v>
      </c>
      <c r="B2012" s="1832">
        <f>'Cap Outlay Deprec 26'!C13</f>
        <v>274474</v>
      </c>
      <c r="D2012" s="2" t="str">
        <f t="shared" si="30"/>
        <v>Error?</v>
      </c>
    </row>
    <row r="2013" spans="1:4" x14ac:dyDescent="0.2">
      <c r="A2013" s="5">
        <v>1952</v>
      </c>
      <c r="B2013" s="1832">
        <f>'Cap Outlay Deprec 26'!C16</f>
        <v>12434235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9392899</v>
      </c>
      <c r="D2015" s="2" t="str">
        <f t="shared" si="30"/>
        <v>Error?</v>
      </c>
    </row>
    <row r="2016" spans="1:4" x14ac:dyDescent="0.2">
      <c r="A2016" s="5">
        <v>1955</v>
      </c>
      <c r="B2016" s="1832">
        <f>'Cap Outlay Deprec 26'!D10</f>
        <v>26100</v>
      </c>
      <c r="D2016" s="2" t="str">
        <f t="shared" si="30"/>
        <v>Error?</v>
      </c>
    </row>
    <row r="2017" spans="1:4" x14ac:dyDescent="0.2">
      <c r="A2017" s="5">
        <v>1956</v>
      </c>
      <c r="B2017" s="1832">
        <f>'Cap Outlay Deprec 26'!D12</f>
        <v>753010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10172009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8349388</v>
      </c>
      <c r="C2025" s="2" t="s">
        <v>569</v>
      </c>
      <c r="D2025" s="2" t="str">
        <f t="shared" si="30"/>
        <v>Error?</v>
      </c>
    </row>
    <row r="2026" spans="1:4" x14ac:dyDescent="0.2">
      <c r="A2026" s="5">
        <v>1965</v>
      </c>
      <c r="B2026" s="1832">
        <f>'Cap Outlay Deprec 26'!F5</f>
        <v>294090</v>
      </c>
      <c r="C2026" s="2" t="s">
        <v>569</v>
      </c>
      <c r="D2026" s="2" t="str">
        <f t="shared" si="30"/>
        <v>Error?</v>
      </c>
    </row>
    <row r="2027" spans="1:4" x14ac:dyDescent="0.2">
      <c r="A2027" s="5">
        <v>1966</v>
      </c>
      <c r="B2027" s="1832">
        <f>'Cap Outlay Deprec 26'!F8</f>
        <v>12441289</v>
      </c>
      <c r="C2027" s="2" t="s">
        <v>569</v>
      </c>
      <c r="D2027" s="2" t="str">
        <f t="shared" si="30"/>
        <v>Error?</v>
      </c>
    </row>
    <row r="2028" spans="1:4" x14ac:dyDescent="0.2">
      <c r="A2028" s="5">
        <v>1967</v>
      </c>
      <c r="B2028" s="1832">
        <f>'Cap Outlay Deprec 26'!F10</f>
        <v>124540</v>
      </c>
      <c r="C2028" s="2" t="s">
        <v>569</v>
      </c>
      <c r="D2028" s="2" t="str">
        <f t="shared" si="30"/>
        <v>Error?</v>
      </c>
    </row>
    <row r="2029" spans="1:4" x14ac:dyDescent="0.2">
      <c r="A2029" s="5">
        <v>1968</v>
      </c>
      <c r="B2029" s="1832">
        <f>'Cap Outlay Deprec 26'!F12</f>
        <v>1122463</v>
      </c>
      <c r="C2029" s="2" t="s">
        <v>569</v>
      </c>
      <c r="D2029" s="2" t="str">
        <f t="shared" si="30"/>
        <v>Error?</v>
      </c>
    </row>
    <row r="2030" spans="1:4" x14ac:dyDescent="0.2">
      <c r="A2030" s="5">
        <v>1969</v>
      </c>
      <c r="B2030" s="1832">
        <f>'Cap Outlay Deprec 26'!F13</f>
        <v>274474</v>
      </c>
      <c r="C2030" s="2" t="s">
        <v>569</v>
      </c>
      <c r="D2030" s="2" t="str">
        <f t="shared" si="30"/>
        <v>Error?</v>
      </c>
    </row>
    <row r="2031" spans="1:4" x14ac:dyDescent="0.2">
      <c r="A2031" s="5">
        <v>1970</v>
      </c>
      <c r="B2031" s="1832">
        <f>'Cap Outlay Deprec 26'!F16</f>
        <v>14256856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1464312</v>
      </c>
      <c r="D2033" s="2" t="str">
        <f t="shared" si="30"/>
        <v>Error?</v>
      </c>
    </row>
    <row r="2034" spans="1:4" x14ac:dyDescent="0.2">
      <c r="A2034" s="5">
        <v>1973</v>
      </c>
      <c r="B2034" s="1832">
        <f>'Cap Outlay Deprec 26'!H10</f>
        <v>42563</v>
      </c>
      <c r="D2034" s="2" t="str">
        <f t="shared" si="30"/>
        <v>Error?</v>
      </c>
    </row>
    <row r="2035" spans="1:4" x14ac:dyDescent="0.2">
      <c r="A2035" s="5">
        <v>1974</v>
      </c>
      <c r="B2035" s="1832">
        <f>'Cap Outlay Deprec 26'!H12</f>
        <v>360711</v>
      </c>
      <c r="D2035" s="2" t="str">
        <f t="shared" si="30"/>
        <v>Error?</v>
      </c>
    </row>
    <row r="2036" spans="1:4" x14ac:dyDescent="0.2">
      <c r="A2036" s="5">
        <v>1975</v>
      </c>
      <c r="B2036" s="1832">
        <f>'Cap Outlay Deprec 26'!H13</f>
        <v>271814</v>
      </c>
      <c r="D2036" s="2" t="str">
        <f t="shared" si="30"/>
        <v>Error?</v>
      </c>
    </row>
    <row r="2037" spans="1:4" x14ac:dyDescent="0.2">
      <c r="A2037" s="5">
        <v>1976</v>
      </c>
      <c r="B2037" s="1832">
        <f>'Cap Outlay Deprec 26'!H16</f>
        <v>2139400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256343</v>
      </c>
      <c r="D2039" s="2" t="str">
        <f t="shared" si="30"/>
        <v>Error?</v>
      </c>
    </row>
    <row r="2040" spans="1:4" x14ac:dyDescent="0.2">
      <c r="A2040" s="5">
        <v>1979</v>
      </c>
      <c r="B2040" s="1832">
        <f>'Cap Outlay Deprec 26'!I10</f>
        <v>6688</v>
      </c>
      <c r="D2040" s="2" t="str">
        <f t="shared" si="30"/>
        <v>Error?</v>
      </c>
    </row>
    <row r="2041" spans="1:4" x14ac:dyDescent="0.2">
      <c r="A2041" s="5">
        <v>1980</v>
      </c>
      <c r="B2041" s="1832">
        <f>'Cap Outlay Deprec 26'!I12</f>
        <v>78200</v>
      </c>
      <c r="D2041" s="2" t="str">
        <f t="shared" si="30"/>
        <v>Error?</v>
      </c>
    </row>
    <row r="2042" spans="1:4" x14ac:dyDescent="0.2">
      <c r="A2042" s="5">
        <v>1981</v>
      </c>
      <c r="B2042" s="1832">
        <f>'Cap Outlay Deprec 26'!I13</f>
        <v>2660</v>
      </c>
      <c r="D2042" s="2" t="str">
        <f t="shared" si="30"/>
        <v>Error?</v>
      </c>
    </row>
    <row r="2043" spans="1:4" x14ac:dyDescent="0.2">
      <c r="A2043" s="5">
        <v>1982</v>
      </c>
      <c r="B2043" s="1832">
        <f>'Cap Outlay Deprec 26'!I16</f>
        <v>343891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1720655</v>
      </c>
      <c r="C2051" s="2" t="s">
        <v>569</v>
      </c>
      <c r="D2051" s="2" t="str">
        <f t="shared" si="31"/>
        <v>Error?</v>
      </c>
    </row>
    <row r="2052" spans="1:4" x14ac:dyDescent="0.2">
      <c r="A2052" s="5">
        <v>1991</v>
      </c>
      <c r="B2052" s="1832">
        <f>'Cap Outlay Deprec 26'!K10</f>
        <v>49251</v>
      </c>
      <c r="C2052" s="2" t="s">
        <v>569</v>
      </c>
      <c r="D2052" s="2" t="str">
        <f t="shared" si="31"/>
        <v>Error?</v>
      </c>
    </row>
    <row r="2053" spans="1:4" x14ac:dyDescent="0.2">
      <c r="A2053" s="5">
        <v>1992</v>
      </c>
      <c r="B2053" s="1832">
        <f>'Cap Outlay Deprec 26'!K12</f>
        <v>438911</v>
      </c>
      <c r="C2053" s="2" t="s">
        <v>569</v>
      </c>
      <c r="D2053" s="2" t="str">
        <f t="shared" si="31"/>
        <v>Error?</v>
      </c>
    </row>
    <row r="2054" spans="1:4" x14ac:dyDescent="0.2">
      <c r="A2054" s="5">
        <v>1993</v>
      </c>
      <c r="B2054" s="1832">
        <f>'Cap Outlay Deprec 26'!K13</f>
        <v>274474</v>
      </c>
      <c r="C2054" s="2" t="s">
        <v>569</v>
      </c>
      <c r="D2054" s="2" t="str">
        <f t="shared" si="31"/>
        <v>Error?</v>
      </c>
    </row>
    <row r="2055" spans="1:4" x14ac:dyDescent="0.2">
      <c r="A2055" s="5">
        <v>1994</v>
      </c>
      <c r="B2055" s="1832">
        <f>'Cap Outlay Deprec 26'!K16</f>
        <v>2483291</v>
      </c>
      <c r="C2055" s="2" t="s">
        <v>569</v>
      </c>
      <c r="D2055" s="2" t="str">
        <f t="shared" si="31"/>
        <v>Error?</v>
      </c>
    </row>
    <row r="2056" spans="1:4" x14ac:dyDescent="0.2">
      <c r="A2056" s="5">
        <v>1995</v>
      </c>
      <c r="B2056" s="1832">
        <f>'Cap Outlay Deprec 26'!L5</f>
        <v>294090</v>
      </c>
      <c r="C2056" s="2" t="s">
        <v>569</v>
      </c>
      <c r="D2056" s="2" t="str">
        <f t="shared" si="31"/>
        <v>Error?</v>
      </c>
    </row>
    <row r="2057" spans="1:4" x14ac:dyDescent="0.2">
      <c r="A2057" s="5">
        <v>1996</v>
      </c>
      <c r="B2057" s="1832">
        <f>'Cap Outlay Deprec 26'!L8</f>
        <v>10720634</v>
      </c>
      <c r="C2057" s="2" t="s">
        <v>569</v>
      </c>
      <c r="D2057" s="2" t="str">
        <f t="shared" si="31"/>
        <v>Error?</v>
      </c>
    </row>
    <row r="2058" spans="1:4" x14ac:dyDescent="0.2">
      <c r="A2058" s="5">
        <v>1997</v>
      </c>
      <c r="B2058" s="1832">
        <f>'Cap Outlay Deprec 26'!L10</f>
        <v>75289</v>
      </c>
      <c r="C2058" s="2" t="s">
        <v>569</v>
      </c>
      <c r="D2058" s="2" t="str">
        <f t="shared" si="31"/>
        <v>Error?</v>
      </c>
    </row>
    <row r="2059" spans="1:4" x14ac:dyDescent="0.2">
      <c r="A2059" s="5">
        <v>1998</v>
      </c>
      <c r="B2059" s="1832">
        <f>'Cap Outlay Deprec 26'!L12</f>
        <v>683552</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11773565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24025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130687</v>
      </c>
      <c r="C2088" s="2" t="s">
        <v>569</v>
      </c>
      <c r="D2088" s="2" t="str">
        <f t="shared" si="31"/>
        <v>Error?</v>
      </c>
    </row>
    <row r="2089" spans="1:4" x14ac:dyDescent="0.2">
      <c r="A2089" s="5">
        <v>2028</v>
      </c>
      <c r="B2089" s="1832">
        <f>'Expenditures 15-22'!K92</f>
        <v>29827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51476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1813344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178322</v>
      </c>
      <c r="C2553" s="2" t="s">
        <v>569</v>
      </c>
      <c r="D2553" s="2" t="str">
        <f t="shared" si="38"/>
        <v>Error?</v>
      </c>
    </row>
    <row r="2554" spans="1:4" x14ac:dyDescent="0.2">
      <c r="A2554" s="5">
        <v>2493</v>
      </c>
      <c r="B2554" s="1832">
        <f>'Acct Summary 7-8'!C7</f>
        <v>136209</v>
      </c>
      <c r="C2554" s="2" t="s">
        <v>569</v>
      </c>
      <c r="D2554" s="2" t="str">
        <f t="shared" si="38"/>
        <v>Error?</v>
      </c>
    </row>
    <row r="2555" spans="1:4" x14ac:dyDescent="0.2">
      <c r="A2555" s="5">
        <v>2494</v>
      </c>
      <c r="B2555" s="1832">
        <f>'Acct Summary 7-8'!C8</f>
        <v>2127875</v>
      </c>
      <c r="C2555" s="2" t="s">
        <v>569</v>
      </c>
      <c r="D2555" s="2" t="str">
        <f t="shared" si="38"/>
        <v>Error?</v>
      </c>
    </row>
    <row r="2556" spans="1:4" x14ac:dyDescent="0.2">
      <c r="A2556" s="5">
        <v>2495</v>
      </c>
      <c r="B2556" s="1832">
        <f>'Acct Summary 7-8'!C12</f>
        <v>1414384</v>
      </c>
      <c r="C2556" s="2" t="s">
        <v>569</v>
      </c>
      <c r="D2556" s="2" t="str">
        <f t="shared" si="38"/>
        <v>Error?</v>
      </c>
    </row>
    <row r="2557" spans="1:4" x14ac:dyDescent="0.2">
      <c r="A2557" s="5">
        <v>2496</v>
      </c>
      <c r="B2557" s="1832">
        <f>'Acct Summary 7-8'!C13</f>
        <v>626411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160514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2201309</v>
      </c>
      <c r="C2561" s="2" t="s">
        <v>569</v>
      </c>
      <c r="D2561" s="2" t="str">
        <f t="shared" si="39"/>
        <v>Error?</v>
      </c>
    </row>
    <row r="2562" spans="1:4" x14ac:dyDescent="0.2">
      <c r="A2562" s="5">
        <v>2501</v>
      </c>
      <c r="B2562" s="1832">
        <f>'Acct Summary 7-8'!C20</f>
        <v>-73434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191101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4644</v>
      </c>
      <c r="C2567" s="2" t="s">
        <v>569</v>
      </c>
      <c r="D2567" s="2" t="str">
        <f t="shared" si="39"/>
        <v>Error?</v>
      </c>
    </row>
    <row r="2568" spans="1:4" x14ac:dyDescent="0.2">
      <c r="A2568" s="5">
        <v>2507</v>
      </c>
      <c r="B2568" s="1832">
        <f>'Acct Summary 7-8'!D8</f>
        <v>195745</v>
      </c>
      <c r="C2568" s="2" t="s">
        <v>569</v>
      </c>
      <c r="D2568" s="2" t="str">
        <f t="shared" si="39"/>
        <v>Error?</v>
      </c>
    </row>
    <row r="2569" spans="1:4" x14ac:dyDescent="0.2">
      <c r="A2569" s="5">
        <v>2508</v>
      </c>
      <c r="B2569" s="1832">
        <f>'Acct Summary 7-8'!D13</f>
        <v>297986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297986</v>
      </c>
      <c r="C2573" s="2" t="s">
        <v>569</v>
      </c>
      <c r="D2573" s="2" t="str">
        <f t="shared" si="39"/>
        <v>Error?</v>
      </c>
    </row>
    <row r="2574" spans="1:4" x14ac:dyDescent="0.2">
      <c r="A2574" s="5">
        <v>2513</v>
      </c>
      <c r="B2574" s="1832">
        <f>'Acct Summary 7-8'!D20</f>
        <v>-102241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90896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118391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209287</v>
      </c>
      <c r="C2595" s="2" t="s">
        <v>569</v>
      </c>
      <c r="D2595" s="2" t="str">
        <f t="shared" si="39"/>
        <v>Error?</v>
      </c>
    </row>
    <row r="2596" spans="1:4" x14ac:dyDescent="0.2">
      <c r="A2596" s="5">
        <v>2535</v>
      </c>
      <c r="B2596" s="1832">
        <f>'Acct Summary 7-8'!F13</f>
        <v>204554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204554</v>
      </c>
      <c r="C2600" s="2" t="s">
        <v>569</v>
      </c>
      <c r="D2600" s="2" t="str">
        <f t="shared" si="39"/>
        <v>Error?</v>
      </c>
    </row>
    <row r="2601" spans="1:4" x14ac:dyDescent="0.2">
      <c r="A2601" s="5">
        <v>2540</v>
      </c>
      <c r="B2601" s="1832">
        <f>'Acct Summary 7-8'!F20</f>
        <v>4733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83875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5177</v>
      </c>
      <c r="C2605" s="2" t="s">
        <v>569</v>
      </c>
      <c r="D2605" s="2" t="str">
        <f t="shared" si="39"/>
        <v>Error?</v>
      </c>
    </row>
    <row r="2606" spans="1:4" x14ac:dyDescent="0.2">
      <c r="A2606" s="5">
        <v>2545</v>
      </c>
      <c r="B2606" s="1832">
        <f>'Acct Summary 7-8'!G8</f>
        <v>89052</v>
      </c>
      <c r="C2606" s="2" t="s">
        <v>569</v>
      </c>
      <c r="D2606" s="2" t="str">
        <f t="shared" si="39"/>
        <v>Error?</v>
      </c>
    </row>
    <row r="2607" spans="1:4" x14ac:dyDescent="0.2">
      <c r="A2607" s="5">
        <v>2546</v>
      </c>
      <c r="B2607" s="1832">
        <f>'Acct Summary 7-8'!G12</f>
        <v>28414</v>
      </c>
      <c r="C2607" s="2" t="s">
        <v>569</v>
      </c>
      <c r="D2607" s="2" t="str">
        <f t="shared" si="39"/>
        <v>Error?</v>
      </c>
    </row>
    <row r="2608" spans="1:4" x14ac:dyDescent="0.2">
      <c r="A2608" s="5">
        <v>2547</v>
      </c>
      <c r="B2608" s="1832">
        <f>'Acct Summary 7-8'!G13</f>
        <v>50063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78477</v>
      </c>
      <c r="C2612" s="2" t="s">
        <v>569</v>
      </c>
      <c r="D2612" s="2" t="str">
        <f t="shared" si="39"/>
        <v>Error?</v>
      </c>
    </row>
    <row r="2613" spans="1:4" x14ac:dyDescent="0.2">
      <c r="A2613" s="5">
        <v>2552</v>
      </c>
      <c r="B2613" s="1832">
        <f>'Acct Summary 7-8'!G20</f>
        <v>10575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959745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959745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492550</v>
      </c>
      <c r="C2634" s="2" t="s">
        <v>569</v>
      </c>
      <c r="D2634" s="2" t="str">
        <f t="shared" si="40"/>
        <v>Error?</v>
      </c>
    </row>
    <row r="2635" spans="1:4" x14ac:dyDescent="0.2">
      <c r="A2635" s="5">
        <v>2574</v>
      </c>
      <c r="B2635" s="1832">
        <f>'Acct Summary 7-8'!E17</f>
        <v>492550</v>
      </c>
      <c r="C2635" s="2" t="s">
        <v>569</v>
      </c>
      <c r="D2635" s="2" t="str">
        <f t="shared" si="40"/>
        <v>Error?</v>
      </c>
    </row>
    <row r="2636" spans="1:4" x14ac:dyDescent="0.2">
      <c r="A2636" s="5">
        <v>2575</v>
      </c>
      <c r="B2636" s="1832">
        <f>'Acct Summary 7-8'!E20</f>
        <v>467195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24394</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24394</v>
      </c>
      <c r="C2658" s="2" t="s">
        <v>569</v>
      </c>
      <c r="D2658" s="2" t="str">
        <f t="shared" si="40"/>
        <v>Error?</v>
      </c>
    </row>
    <row r="2659" spans="1:4" x14ac:dyDescent="0.2">
      <c r="A2659" s="5">
        <v>2598</v>
      </c>
      <c r="B2659" s="1832">
        <f>'Acct Summary 7-8'!H13</f>
        <v>1569768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1569768</v>
      </c>
      <c r="C2661" s="2" t="s">
        <v>569</v>
      </c>
      <c r="D2661" s="2" t="str">
        <f t="shared" si="40"/>
        <v>Error?</v>
      </c>
    </row>
    <row r="2662" spans="1:4" x14ac:dyDescent="0.2">
      <c r="A2662" s="5">
        <v>2601</v>
      </c>
      <c r="B2662" s="1832">
        <f>'Acct Summary 7-8'!H20</f>
        <v>-1545374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106662</v>
      </c>
      <c r="C2789" s="2" t="s">
        <v>569</v>
      </c>
      <c r="D2789" s="2" t="str">
        <f t="shared" si="42"/>
        <v>Error?</v>
      </c>
    </row>
    <row r="2790" spans="1:4" x14ac:dyDescent="0.2">
      <c r="A2790" s="5">
        <v>2729</v>
      </c>
      <c r="B2790" s="1832">
        <f>'Expenditures 15-22'!E102</f>
        <v>106662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105474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3748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105474</v>
      </c>
      <c r="D2912" s="2" t="str">
        <f t="shared" si="44"/>
        <v>Error?</v>
      </c>
    </row>
    <row r="2913" spans="1:4" x14ac:dyDescent="0.2">
      <c r="A2913" s="5">
        <v>2852</v>
      </c>
      <c r="B2913" s="1832">
        <f>'Assets-Liab 5-6'!I41</f>
        <v>105474</v>
      </c>
      <c r="C2913" s="2" t="s">
        <v>569</v>
      </c>
      <c r="D2913" s="2" t="str">
        <f t="shared" si="44"/>
        <v>Error?</v>
      </c>
    </row>
    <row r="2914" spans="1:4" x14ac:dyDescent="0.2">
      <c r="A2914" s="5">
        <v>2853</v>
      </c>
      <c r="B2914" s="1832">
        <f>'Assets-Liab 5-6'!L33</f>
        <v>3748</v>
      </c>
      <c r="D2914" s="2" t="str">
        <f t="shared" si="44"/>
        <v>Error?</v>
      </c>
    </row>
    <row r="2915" spans="1:4" x14ac:dyDescent="0.2">
      <c r="A2915" s="10">
        <v>2854</v>
      </c>
      <c r="B2915" s="1832"/>
      <c r="D2915" s="2" t="str">
        <f t="shared" si="44"/>
        <v>OK</v>
      </c>
    </row>
    <row r="2916" spans="1:4" x14ac:dyDescent="0.2">
      <c r="A2916" s="5">
        <v>2855</v>
      </c>
      <c r="B2916" s="1832">
        <f>'Assets-Liab 5-6'!L34</f>
        <v>3748</v>
      </c>
      <c r="C2916" s="2" t="s">
        <v>569</v>
      </c>
      <c r="D2916" s="2" t="str">
        <f t="shared" si="44"/>
        <v>Error?</v>
      </c>
    </row>
    <row r="2917" spans="1:4" x14ac:dyDescent="0.2">
      <c r="A2917" s="5">
        <v>2856</v>
      </c>
      <c r="B2917" s="1832">
        <f>'Assets-Liab 5-6'!L41</f>
        <v>3748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106662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24025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130687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25721</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5209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30930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4387</v>
      </c>
      <c r="D3064" s="2" t="str">
        <f t="shared" si="46"/>
        <v>Error?</v>
      </c>
    </row>
    <row r="3065" spans="1:4" x14ac:dyDescent="0.2">
      <c r="A3065" s="5">
        <v>3004</v>
      </c>
      <c r="B3065" s="1832">
        <f>'Expenditures 15-22'!K219</f>
        <v>4387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37960</v>
      </c>
      <c r="C3225" s="2" t="s">
        <v>569</v>
      </c>
      <c r="D3225" s="2" t="str">
        <f t="shared" si="49"/>
        <v>Error?</v>
      </c>
    </row>
    <row r="3226" spans="1:4" x14ac:dyDescent="0.2">
      <c r="A3226" s="5">
        <v>3165</v>
      </c>
      <c r="B3226" s="1832">
        <f>'Acct Summary 7-8'!I8</f>
        <v>37960</v>
      </c>
      <c r="C3226" s="2" t="s">
        <v>569</v>
      </c>
      <c r="D3226" s="2" t="str">
        <f t="shared" si="49"/>
        <v>Error?</v>
      </c>
    </row>
    <row r="3227" spans="1:4" x14ac:dyDescent="0.2">
      <c r="A3227" s="5">
        <v>3166</v>
      </c>
      <c r="B3227" s="1832">
        <f>'Acct Summary 7-8'!I20</f>
        <v>37960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30000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30000</v>
      </c>
      <c r="C3232" s="2" t="s">
        <v>569</v>
      </c>
      <c r="D3232" s="2" t="str">
        <f t="shared" si="49"/>
        <v>Error?</v>
      </c>
    </row>
    <row r="3233" spans="1:4" x14ac:dyDescent="0.2">
      <c r="A3233" s="5">
        <v>3172</v>
      </c>
      <c r="B3233" s="1832">
        <f>'Acct Summary 7-8'!C78</f>
        <v>-43434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4565</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4565</v>
      </c>
      <c r="C3238" s="2" t="s">
        <v>569</v>
      </c>
      <c r="D3238" s="2" t="str">
        <f t="shared" si="49"/>
        <v>Error?</v>
      </c>
    </row>
    <row r="3239" spans="1:4" x14ac:dyDescent="0.2">
      <c r="A3239" s="5">
        <v>3178</v>
      </c>
      <c r="B3239" s="1832">
        <f>'Acct Summary 7-8'!D78</f>
        <v>-97676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4733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10575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467195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1500</v>
      </c>
      <c r="D3297" s="2" t="str">
        <f t="shared" si="50"/>
        <v>Error?</v>
      </c>
    </row>
    <row r="3298" spans="1:4" x14ac:dyDescent="0.2">
      <c r="A3298" s="5">
        <v>3237</v>
      </c>
      <c r="B3298" s="1832">
        <f>'Acct Summary 7-8'!H76</f>
        <v>1500</v>
      </c>
      <c r="C3298" s="2" t="s">
        <v>569</v>
      </c>
      <c r="D3298" s="2" t="str">
        <f t="shared" si="50"/>
        <v>Error?</v>
      </c>
    </row>
    <row r="3299" spans="1:4" x14ac:dyDescent="0.2">
      <c r="A3299" s="5">
        <v>3238</v>
      </c>
      <c r="B3299" s="1832">
        <f>'Acct Summary 7-8'!H77</f>
        <v>-1500</v>
      </c>
      <c r="C3299" s="2" t="s">
        <v>569</v>
      </c>
      <c r="D3299" s="2" t="str">
        <f t="shared" si="50"/>
        <v>Error?</v>
      </c>
    </row>
    <row r="3300" spans="1:4" x14ac:dyDescent="0.2">
      <c r="A3300" s="5">
        <v>3239</v>
      </c>
      <c r="B3300" s="1832">
        <f>'Acct Summary 7-8'!H78</f>
        <v>-1546874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30000</v>
      </c>
      <c r="C3318" s="2" t="s">
        <v>569</v>
      </c>
      <c r="D3318" s="2" t="str">
        <f t="shared" si="50"/>
        <v>Error?</v>
      </c>
    </row>
    <row r="3319" spans="1:4" x14ac:dyDescent="0.2">
      <c r="A3319" s="5">
        <v>3258</v>
      </c>
      <c r="B3319" s="1832">
        <f>'Acct Summary 7-8'!I77</f>
        <v>-30000</v>
      </c>
      <c r="C3319" s="2" t="s">
        <v>569</v>
      </c>
      <c r="D3319" s="2" t="str">
        <f t="shared" si="50"/>
        <v>Error?</v>
      </c>
    </row>
    <row r="3320" spans="1:4" x14ac:dyDescent="0.2">
      <c r="A3320" s="5">
        <v>3259</v>
      </c>
      <c r="B3320" s="1832">
        <f>'Acct Summary 7-8'!I78</f>
        <v>7960</v>
      </c>
      <c r="C3320" s="2" t="s">
        <v>569</v>
      </c>
      <c r="D3320" s="2" t="str">
        <f t="shared" si="50"/>
        <v>Error?</v>
      </c>
    </row>
    <row r="3321" spans="1:4" x14ac:dyDescent="0.2">
      <c r="A3321" s="5">
        <v>3260</v>
      </c>
      <c r="B3321" s="1832">
        <f>'Acct Summary 7-8'!I79</f>
        <v>97514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105474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54311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15055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1706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41456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112528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19614</v>
      </c>
      <c r="D3387" s="2" t="str">
        <f t="shared" si="51"/>
        <v>Error?</v>
      </c>
    </row>
    <row r="3388" spans="1:4" x14ac:dyDescent="0.2">
      <c r="A3388" s="5">
        <v>3327</v>
      </c>
      <c r="B3388" s="1832">
        <f>'Expenditures 15-22'!D217</f>
        <v>3360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19614</v>
      </c>
      <c r="C3390" s="2" t="s">
        <v>569</v>
      </c>
      <c r="D3390" s="2" t="str">
        <f t="shared" si="51"/>
        <v>Error?</v>
      </c>
    </row>
    <row r="3391" spans="1:4" x14ac:dyDescent="0.2">
      <c r="A3391" s="5">
        <v>3330</v>
      </c>
      <c r="B3391" s="1832">
        <f>'Expenditures 15-22'!K217</f>
        <v>3360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2083844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634147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1227551</v>
      </c>
      <c r="D3417" s="2" t="str">
        <f t="shared" si="52"/>
        <v>Error?</v>
      </c>
    </row>
    <row r="3418" spans="1:4" x14ac:dyDescent="0.2">
      <c r="A3418" s="10">
        <v>3357</v>
      </c>
      <c r="B3418" s="1832"/>
      <c r="D3418" s="2" t="str">
        <f t="shared" si="52"/>
        <v>OK</v>
      </c>
    </row>
    <row r="3419" spans="1:4" x14ac:dyDescent="0.2">
      <c r="A3419" s="5">
        <v>3358</v>
      </c>
      <c r="B3419" s="1832">
        <f>'Assets-Liab 5-6'!F4</f>
        <v>122431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210363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601220</v>
      </c>
      <c r="D3425" s="2" t="str">
        <f t="shared" si="52"/>
        <v>Error?</v>
      </c>
    </row>
    <row r="3426" spans="1:4" x14ac:dyDescent="0.2">
      <c r="A3426" s="10">
        <v>3365</v>
      </c>
      <c r="B3426" s="1832"/>
      <c r="D3426" s="2" t="str">
        <f t="shared" si="52"/>
        <v>OK</v>
      </c>
    </row>
    <row r="3427" spans="1:4" x14ac:dyDescent="0.2">
      <c r="A3427" s="5">
        <v>3366</v>
      </c>
      <c r="B3427" s="1832">
        <f>'Assets-Liab 5-6'!I4</f>
        <v>105474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3748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40084</v>
      </c>
      <c r="C3446" s="2" t="s">
        <v>569</v>
      </c>
      <c r="D3446" s="2" t="str">
        <f t="shared" si="52"/>
        <v>Error?</v>
      </c>
    </row>
    <row r="3447" spans="1:4" x14ac:dyDescent="0.2">
      <c r="A3447" s="5">
        <v>3386</v>
      </c>
      <c r="B3447" s="1832">
        <f>'Tax Sched 23'!D16</f>
        <v>40084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38008</v>
      </c>
      <c r="C3449" s="2" t="s">
        <v>569</v>
      </c>
      <c r="D3449" s="2" t="str">
        <f t="shared" si="52"/>
        <v>Error?</v>
      </c>
    </row>
    <row r="3450" spans="1:4" x14ac:dyDescent="0.2">
      <c r="A3450" s="5">
        <v>3389</v>
      </c>
      <c r="B3450" s="1832">
        <f>'Tax Sched 23'!E16</f>
        <v>38008</v>
      </c>
      <c r="D3450" s="2" t="str">
        <f t="shared" si="52"/>
        <v>Error?</v>
      </c>
    </row>
    <row r="3451" spans="1:4" x14ac:dyDescent="0.2">
      <c r="A3451" s="5">
        <v>3390</v>
      </c>
      <c r="B3451" s="1832">
        <f>'Cap Outlay Deprec 26'!C15</f>
        <v>8349388</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8349388</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4565</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37314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37314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37314</v>
      </c>
      <c r="D3567" s="2" t="str">
        <f t="shared" si="54"/>
        <v>Error?</v>
      </c>
    </row>
    <row r="3568" spans="1:4" x14ac:dyDescent="0.2">
      <c r="A3568" s="5">
        <v>3507</v>
      </c>
      <c r="B3568" s="1832">
        <f>'Assets-Liab 5-6'!K41</f>
        <v>37314</v>
      </c>
      <c r="C3568" s="2" t="s">
        <v>569</v>
      </c>
      <c r="D3568" s="2" t="str">
        <f t="shared" si="54"/>
        <v>Error?</v>
      </c>
    </row>
    <row r="3569" spans="1:4" x14ac:dyDescent="0.2">
      <c r="A3569" s="5">
        <v>3508</v>
      </c>
      <c r="B3569" s="1832">
        <f>'Acct Summary 7-8'!K4</f>
        <v>37314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37314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37314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37314</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37314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37314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37073</v>
      </c>
      <c r="C3725" s="2" t="s">
        <v>569</v>
      </c>
      <c r="D3725" s="2" t="str">
        <f t="shared" si="57"/>
        <v>Error?</v>
      </c>
    </row>
    <row r="3726" spans="1:4" x14ac:dyDescent="0.2">
      <c r="A3726" s="5">
        <v>3665</v>
      </c>
      <c r="B3726" s="1832">
        <f>'Tax Sched 23'!D13</f>
        <v>37073</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40589</v>
      </c>
      <c r="C3728" s="2" t="s">
        <v>569</v>
      </c>
      <c r="D3728" s="2" t="str">
        <f t="shared" si="57"/>
        <v>Error?</v>
      </c>
    </row>
    <row r="3729" spans="1:4" x14ac:dyDescent="0.2">
      <c r="A3729" s="5">
        <v>3668</v>
      </c>
      <c r="B3729" s="1832">
        <f>'Tax Sched 23'!E13</f>
        <v>40589</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911901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3039776</v>
      </c>
      <c r="C4122" s="2" t="s">
        <v>569</v>
      </c>
      <c r="D4122" s="2" t="str">
        <f t="shared" si="63"/>
        <v>Error?</v>
      </c>
    </row>
    <row r="4123" spans="1:4" x14ac:dyDescent="0.2">
      <c r="A4123" s="5">
        <v>4062</v>
      </c>
      <c r="B4123" s="1832">
        <f>'Acct Summary 7-8'!D10</f>
        <v>195745</v>
      </c>
      <c r="C4123" s="2" t="s">
        <v>569</v>
      </c>
      <c r="D4123" s="2" t="str">
        <f t="shared" si="63"/>
        <v>Error?</v>
      </c>
    </row>
    <row r="4124" spans="1:4" x14ac:dyDescent="0.2">
      <c r="A4124" s="5">
        <v>4063</v>
      </c>
      <c r="B4124" s="1832">
        <f>'Acct Summary 7-8'!E10</f>
        <v>959745</v>
      </c>
      <c r="C4124" s="2" t="s">
        <v>569</v>
      </c>
      <c r="D4124" s="2" t="str">
        <f t="shared" si="63"/>
        <v>Error?</v>
      </c>
    </row>
    <row r="4125" spans="1:4" x14ac:dyDescent="0.2">
      <c r="A4125" s="5">
        <v>4064</v>
      </c>
      <c r="B4125" s="1832">
        <f>'Acct Summary 7-8'!F10</f>
        <v>209287</v>
      </c>
      <c r="C4125" s="2" t="s">
        <v>569</v>
      </c>
      <c r="D4125" s="2" t="str">
        <f t="shared" si="63"/>
        <v>Error?</v>
      </c>
    </row>
    <row r="4126" spans="1:4" x14ac:dyDescent="0.2">
      <c r="A4126" s="5">
        <v>4065</v>
      </c>
      <c r="B4126" s="1832">
        <f>'Acct Summary 7-8'!G10</f>
        <v>89052</v>
      </c>
      <c r="C4126" s="2" t="s">
        <v>569</v>
      </c>
      <c r="D4126" s="2" t="str">
        <f t="shared" si="63"/>
        <v>Error?</v>
      </c>
    </row>
    <row r="4127" spans="1:4" x14ac:dyDescent="0.2">
      <c r="A4127" s="5">
        <v>4066</v>
      </c>
      <c r="B4127" s="1832">
        <f>'Acct Summary 7-8'!H10</f>
        <v>24394</v>
      </c>
      <c r="C4127" s="2" t="s">
        <v>569</v>
      </c>
      <c r="D4127" s="2" t="str">
        <f t="shared" si="63"/>
        <v>Error?</v>
      </c>
    </row>
    <row r="4128" spans="1:4" x14ac:dyDescent="0.2">
      <c r="A4128" s="5">
        <v>4067</v>
      </c>
      <c r="B4128" s="1832">
        <f>'Acct Summary 7-8'!I10</f>
        <v>37960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37314</v>
      </c>
      <c r="C4130" s="2" t="s">
        <v>569</v>
      </c>
      <c r="D4130" s="2" t="str">
        <f t="shared" si="63"/>
        <v>Error?</v>
      </c>
    </row>
    <row r="4131" spans="1:4" x14ac:dyDescent="0.2">
      <c r="A4131" s="5">
        <v>4070</v>
      </c>
      <c r="B4131" s="1832">
        <f>'Acct Summary 7-8'!C18</f>
        <v>911901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3113210</v>
      </c>
      <c r="C4136" s="2" t="s">
        <v>569</v>
      </c>
      <c r="D4136" s="2" t="str">
        <f t="shared" si="63"/>
        <v>Error?</v>
      </c>
    </row>
    <row r="4137" spans="1:4" x14ac:dyDescent="0.2">
      <c r="A4137" s="5">
        <v>4076</v>
      </c>
      <c r="B4137" s="1832">
        <f>'Acct Summary 7-8'!D19</f>
        <v>297986</v>
      </c>
      <c r="C4137" s="2" t="s">
        <v>569</v>
      </c>
      <c r="D4137" s="2" t="str">
        <f t="shared" si="63"/>
        <v>Error?</v>
      </c>
    </row>
    <row r="4138" spans="1:4" x14ac:dyDescent="0.2">
      <c r="A4138" s="5">
        <v>4077</v>
      </c>
      <c r="B4138" s="1832">
        <f>'Acct Summary 7-8'!E19</f>
        <v>492550</v>
      </c>
      <c r="C4138" s="2" t="s">
        <v>569</v>
      </c>
      <c r="D4138" s="2" t="str">
        <f t="shared" si="63"/>
        <v>Error?</v>
      </c>
    </row>
    <row r="4139" spans="1:4" x14ac:dyDescent="0.2">
      <c r="A4139" s="5">
        <v>4078</v>
      </c>
      <c r="B4139" s="1832">
        <f>'Acct Summary 7-8'!F19</f>
        <v>204554</v>
      </c>
      <c r="C4139" s="2" t="s">
        <v>569</v>
      </c>
      <c r="D4139" s="2" t="str">
        <f t="shared" si="63"/>
        <v>Error?</v>
      </c>
    </row>
    <row r="4140" spans="1:4" x14ac:dyDescent="0.2">
      <c r="A4140" s="5">
        <v>4079</v>
      </c>
      <c r="B4140" s="1832">
        <f>'Acct Summary 7-8'!G19</f>
        <v>78477</v>
      </c>
      <c r="C4140" s="2" t="s">
        <v>569</v>
      </c>
      <c r="D4140" s="2" t="str">
        <f t="shared" si="63"/>
        <v>Error?</v>
      </c>
    </row>
    <row r="4141" spans="1:4" x14ac:dyDescent="0.2">
      <c r="A4141" s="5">
        <v>4080</v>
      </c>
      <c r="B4141" s="1832">
        <f>'Acct Summary 7-8'!H19</f>
        <v>1569768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9115000</v>
      </c>
      <c r="C4171" s="2" t="s">
        <v>569</v>
      </c>
      <c r="D4171" s="2" t="str">
        <f t="shared" si="64"/>
        <v>Error?</v>
      </c>
    </row>
    <row r="4172" spans="1:4" x14ac:dyDescent="0.2">
      <c r="A4172" s="5">
        <v>4111</v>
      </c>
      <c r="B4172" s="1832">
        <f>'Short-Term Long-Term Debt 24'!J49</f>
        <v>7887449</v>
      </c>
      <c r="C4172" s="2" t="s">
        <v>569</v>
      </c>
      <c r="D4172" s="2" t="str">
        <f t="shared" si="64"/>
        <v>Error?</v>
      </c>
    </row>
    <row r="4173" spans="1:4" x14ac:dyDescent="0.2">
      <c r="A4173" s="5">
        <v>4112</v>
      </c>
      <c r="B4173" s="1832">
        <f>'Short-Term Long-Term Debt 24'!H49</f>
        <v>125000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1990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2360</v>
      </c>
      <c r="C4268" s="2" t="s">
        <v>569</v>
      </c>
      <c r="D4268" s="2" t="str">
        <f t="shared" si="65"/>
        <v>Error?</v>
      </c>
    </row>
    <row r="4269" spans="1:5" x14ac:dyDescent="0.2">
      <c r="A4269" s="12">
        <v>4208</v>
      </c>
      <c r="B4269" s="1832">
        <f>'FP Info 3'!J16</f>
        <v>2945896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1376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5983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20510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20510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4747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767</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4644</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81178430</v>
      </c>
      <c r="D4995" s="2" t="str">
        <f t="shared" si="77"/>
        <v>Error?</v>
      </c>
    </row>
    <row r="4996" spans="1:4" x14ac:dyDescent="0.2">
      <c r="A4996" s="12">
        <v>4935</v>
      </c>
      <c r="B4996" s="1832">
        <f>'FP Info 3'!H31</f>
        <v>5601311.6700000009</v>
      </c>
      <c r="D4996" s="2" t="str">
        <f t="shared" si="77"/>
        <v>Error?</v>
      </c>
    </row>
    <row r="4997" spans="1:4" x14ac:dyDescent="0.2">
      <c r="A4997" s="12">
        <v>4936</v>
      </c>
      <c r="B4997" s="1832">
        <f>'FP Info 3'!H37</f>
        <v>9115000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37073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1475543</v>
      </c>
      <c r="D5061" s="2" t="str">
        <f t="shared" si="78"/>
        <v>Error?</v>
      </c>
    </row>
    <row r="5062" spans="1:4" x14ac:dyDescent="0.2">
      <c r="A5062" s="10">
        <v>5001</v>
      </c>
      <c r="B5062" s="1832"/>
      <c r="D5062" s="2" t="str">
        <f t="shared" si="78"/>
        <v>OK</v>
      </c>
    </row>
    <row r="5063" spans="1:4" x14ac:dyDescent="0.2">
      <c r="A5063" s="5">
        <v>5002</v>
      </c>
      <c r="B5063" s="1832">
        <f>'Revenues 9-14'!C7</f>
        <v>14829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1527445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110881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110881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18340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18340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5429</v>
      </c>
      <c r="D5093" s="2" t="str">
        <f t="shared" si="78"/>
        <v>Error?</v>
      </c>
    </row>
    <row r="5094" spans="1:4" x14ac:dyDescent="0.2">
      <c r="A5094" s="5">
        <v>5033</v>
      </c>
      <c r="B5094" s="1832">
        <f>'Revenues 9-14'!C73</f>
        <v>8</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5437</v>
      </c>
      <c r="C5096" s="2" t="s">
        <v>569</v>
      </c>
      <c r="D5096" s="2" t="str">
        <f t="shared" si="78"/>
        <v>Error?</v>
      </c>
    </row>
    <row r="5097" spans="1:4" x14ac:dyDescent="0.2">
      <c r="A5097" s="5">
        <v>5036</v>
      </c>
      <c r="B5097" s="1832">
        <f>'Revenues 9-14'!C77</f>
        <v>7604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9700</v>
      </c>
      <c r="D5099" s="2" t="str">
        <f t="shared" si="78"/>
        <v>Error?</v>
      </c>
    </row>
    <row r="5100" spans="1:4" x14ac:dyDescent="0.2">
      <c r="A5100" s="5">
        <v>5039</v>
      </c>
      <c r="B5100" s="1832">
        <f>'Revenues 9-14'!C80</f>
        <v>2637</v>
      </c>
      <c r="D5100" s="2" t="str">
        <f t="shared" si="78"/>
        <v>Error?</v>
      </c>
    </row>
    <row r="5101" spans="1:4" x14ac:dyDescent="0.2">
      <c r="A5101" s="5">
        <v>5040</v>
      </c>
      <c r="B5101" s="1832">
        <f>'Revenues 9-14'!C81</f>
        <v>2434</v>
      </c>
      <c r="D5101" s="2" t="str">
        <f t="shared" si="78"/>
        <v>Error?</v>
      </c>
    </row>
    <row r="5102" spans="1:4" x14ac:dyDescent="0.2">
      <c r="A5102" s="5">
        <v>5041</v>
      </c>
      <c r="B5102" s="1832">
        <f>'Revenues 9-14'!C82</f>
        <v>22375</v>
      </c>
      <c r="C5102" s="2" t="s">
        <v>569</v>
      </c>
      <c r="D5102" s="2" t="str">
        <f t="shared" si="78"/>
        <v>Error?</v>
      </c>
    </row>
    <row r="5103" spans="1:4" x14ac:dyDescent="0.2">
      <c r="A5103" s="5">
        <v>5042</v>
      </c>
      <c r="B5103" s="1832">
        <f>'Revenues 9-14'!C84</f>
        <v>15598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15598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8503</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2538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113268</v>
      </c>
      <c r="C5120" s="2" t="s">
        <v>569</v>
      </c>
      <c r="D5120" s="2" t="str">
        <f t="shared" si="79"/>
        <v>Error?</v>
      </c>
    </row>
    <row r="5121" spans="1:4" x14ac:dyDescent="0.2">
      <c r="A5121" s="5">
        <v>5060</v>
      </c>
      <c r="B5121" s="1832">
        <f>'Revenues 9-14'!C109</f>
        <v>1813344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165769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165769</v>
      </c>
      <c r="C5132" s="2" t="s">
        <v>569</v>
      </c>
      <c r="D5132" s="2" t="str">
        <f t="shared" si="79"/>
        <v>Error?</v>
      </c>
    </row>
    <row r="5133" spans="1:4" x14ac:dyDescent="0.2">
      <c r="A5133" s="5">
        <v>5072</v>
      </c>
      <c r="B5133" s="1832">
        <f>'Revenues 9-14'!C125</f>
        <v>12501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12501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12553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178322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1676</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2126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3802</v>
      </c>
      <c r="C5246" s="2" t="s">
        <v>569</v>
      </c>
      <c r="D5246" s="2" t="str">
        <f t="shared" si="80"/>
        <v>Error?</v>
      </c>
    </row>
    <row r="5247" spans="1:4" x14ac:dyDescent="0.2">
      <c r="A5247" s="5">
        <v>5186</v>
      </c>
      <c r="B5247" s="1832">
        <f>'Revenues 9-14'!C200</f>
        <v>28329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28329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2387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69075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71462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136209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136209</v>
      </c>
      <c r="C5326" s="2" t="s">
        <v>569</v>
      </c>
      <c r="D5326" s="2" t="str">
        <f t="shared" si="82"/>
        <v>Error?</v>
      </c>
    </row>
    <row r="5327" spans="1:5" x14ac:dyDescent="0.2">
      <c r="A5327" s="5">
        <v>5266</v>
      </c>
      <c r="B5327" s="1832">
        <f>'Revenues 9-14'!C268</f>
        <v>2127875</v>
      </c>
      <c r="C5327" s="2" t="s">
        <v>569</v>
      </c>
      <c r="D5327" s="2" t="str">
        <f t="shared" si="82"/>
        <v>Error?</v>
      </c>
    </row>
    <row r="5328" spans="1:5" x14ac:dyDescent="0.2">
      <c r="A5328" s="5">
        <v>5267</v>
      </c>
      <c r="B5328" s="1832">
        <f>'Revenues 9-14'!D5</f>
        <v>185370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185370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5101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5101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480</v>
      </c>
      <c r="D5354" s="2" t="str">
        <f t="shared" si="82"/>
        <v>Error?</v>
      </c>
    </row>
    <row r="5355" spans="1:4" x14ac:dyDescent="0.2">
      <c r="A5355" s="5">
        <v>5294</v>
      </c>
      <c r="B5355" s="1832">
        <f>'Revenues 9-14'!D108</f>
        <v>630</v>
      </c>
      <c r="C5355" s="2" t="s">
        <v>569</v>
      </c>
      <c r="D5355" s="2" t="str">
        <f t="shared" si="82"/>
        <v>Error?</v>
      </c>
    </row>
    <row r="5356" spans="1:4" x14ac:dyDescent="0.2">
      <c r="A5356" s="5">
        <v>5295</v>
      </c>
      <c r="B5356" s="1832">
        <f>'Revenues 9-14'!D109</f>
        <v>191101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4644</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4644</v>
      </c>
      <c r="C5507" s="2" t="s">
        <v>569</v>
      </c>
      <c r="D5507" s="2" t="str">
        <f t="shared" si="85"/>
        <v>Error?</v>
      </c>
    </row>
    <row r="5508" spans="1:4" x14ac:dyDescent="0.2">
      <c r="A5508" s="5">
        <v>5447</v>
      </c>
      <c r="B5508" s="1832">
        <f>'Revenues 9-14'!D268</f>
        <v>195745</v>
      </c>
      <c r="C5508" s="2" t="s">
        <v>569</v>
      </c>
      <c r="D5508" s="2" t="str">
        <f t="shared" si="85"/>
        <v>Error?</v>
      </c>
    </row>
    <row r="5509" spans="1:4" x14ac:dyDescent="0.2">
      <c r="A5509" s="5">
        <v>5448</v>
      </c>
      <c r="B5509" s="1832">
        <f>'Revenues 9-14'!E5</f>
        <v>144388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144388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8665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8665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806692</v>
      </c>
      <c r="C5526" s="2" t="s">
        <v>569</v>
      </c>
      <c r="D5526" s="2" t="str">
        <f t="shared" si="85"/>
        <v>Error?</v>
      </c>
    </row>
    <row r="5527" spans="1:4" x14ac:dyDescent="0.2">
      <c r="A5527" s="5">
        <v>5466</v>
      </c>
      <c r="B5527" s="1832">
        <f>'Revenues 9-14'!E109</f>
        <v>959745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959745</v>
      </c>
      <c r="C5552" s="2" t="s">
        <v>569</v>
      </c>
      <c r="D5552" s="2" t="str">
        <f t="shared" si="85"/>
        <v>Error?</v>
      </c>
    </row>
    <row r="5553" spans="1:4" x14ac:dyDescent="0.2">
      <c r="A5553" s="5">
        <v>5492</v>
      </c>
      <c r="B5553" s="1832">
        <f>'Revenues 9-14'!F5</f>
        <v>88977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88977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1140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1140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779</v>
      </c>
      <c r="D5586" s="2" t="str">
        <f t="shared" si="86"/>
        <v>Error?</v>
      </c>
    </row>
    <row r="5587" spans="1:4" x14ac:dyDescent="0.2">
      <c r="A5587" s="5">
        <v>5526</v>
      </c>
      <c r="B5587" s="1832">
        <f>'Revenues 9-14'!F108</f>
        <v>779</v>
      </c>
      <c r="C5587" s="2" t="s">
        <v>569</v>
      </c>
      <c r="D5587" s="2" t="str">
        <f t="shared" si="86"/>
        <v>Error?</v>
      </c>
    </row>
    <row r="5588" spans="1:4" x14ac:dyDescent="0.2">
      <c r="A5588" s="5">
        <v>5527</v>
      </c>
      <c r="B5588" s="1832">
        <f>'Revenues 9-14'!F109</f>
        <v>90896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92964</v>
      </c>
      <c r="D5615" s="2" t="str">
        <f t="shared" si="86"/>
        <v>Error?</v>
      </c>
    </row>
    <row r="5616" spans="1:4" x14ac:dyDescent="0.2">
      <c r="A5616" s="10">
        <v>5555</v>
      </c>
      <c r="B5616" s="1832"/>
      <c r="D5616" s="2" t="str">
        <f t="shared" si="86"/>
        <v>OK</v>
      </c>
    </row>
    <row r="5617" spans="1:5" x14ac:dyDescent="0.2">
      <c r="A5617" s="5">
        <v>5556</v>
      </c>
      <c r="B5617" s="1832">
        <f>'Revenues 9-14'!F153</f>
        <v>25427</v>
      </c>
      <c r="D5617" s="2" t="str">
        <f t="shared" si="86"/>
        <v>Error?</v>
      </c>
    </row>
    <row r="5618" spans="1:5" x14ac:dyDescent="0.2">
      <c r="A5618" s="5">
        <v>5557</v>
      </c>
      <c r="B5618" s="1832">
        <f>'Revenues 9-14'!F155</f>
        <v>118391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118391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118391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209287</v>
      </c>
      <c r="C5720" s="2" t="s">
        <v>569</v>
      </c>
      <c r="D5720" s="2" t="str">
        <f t="shared" si="88"/>
        <v>Error?</v>
      </c>
    </row>
    <row r="5721" spans="1:4" x14ac:dyDescent="0.2">
      <c r="A5721" s="5">
        <v>5660</v>
      </c>
      <c r="B5721" s="1832">
        <f>'Revenues 9-14'!G5</f>
        <v>40084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40084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80168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2026</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2026</v>
      </c>
      <c r="C5730" s="2" t="s">
        <v>569</v>
      </c>
      <c r="D5730" s="2" t="str">
        <f t="shared" si="88"/>
        <v>Error?</v>
      </c>
    </row>
    <row r="5731" spans="1:4" x14ac:dyDescent="0.2">
      <c r="A5731" s="5">
        <v>5670</v>
      </c>
      <c r="B5731" s="1832">
        <f>'Revenues 9-14'!G65</f>
        <v>1620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1620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61</v>
      </c>
      <c r="D5736" s="2" t="str">
        <f t="shared" si="88"/>
        <v>Error?</v>
      </c>
    </row>
    <row r="5737" spans="1:4" x14ac:dyDescent="0.2">
      <c r="A5737" s="5">
        <v>5676</v>
      </c>
      <c r="B5737" s="1832">
        <f>'Revenues 9-14'!G108</f>
        <v>61</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4410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4410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5177</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5177</v>
      </c>
      <c r="C5869" s="2" t="s">
        <v>569</v>
      </c>
      <c r="D5869" s="2" t="str">
        <f t="shared" si="90"/>
        <v>Error?</v>
      </c>
    </row>
    <row r="5870" spans="1:4" x14ac:dyDescent="0.2">
      <c r="A5870" s="5">
        <v>5809</v>
      </c>
      <c r="B5870" s="1832">
        <f>'Revenues 9-14'!G268</f>
        <v>89052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5144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5144</v>
      </c>
      <c r="C5881" s="2" t="s">
        <v>569</v>
      </c>
      <c r="D5881" s="2" t="str">
        <f t="shared" si="90"/>
        <v>Error?</v>
      </c>
    </row>
    <row r="5882" spans="1:4" x14ac:dyDescent="0.2">
      <c r="A5882" s="5">
        <v>5821</v>
      </c>
      <c r="B5882" s="1832">
        <f>'Revenues 9-14'!H96</f>
        <v>16000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3250</v>
      </c>
      <c r="D5885" s="2" t="str">
        <f t="shared" si="90"/>
        <v>Error?</v>
      </c>
    </row>
    <row r="5886" spans="1:4" x14ac:dyDescent="0.2">
      <c r="A5886" s="5">
        <v>5825</v>
      </c>
      <c r="B5886" s="1832">
        <f>'Revenues 9-14'!H108</f>
        <v>19250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24394</v>
      </c>
      <c r="C5915" s="2" t="s">
        <v>569</v>
      </c>
      <c r="D5915" s="2" t="str">
        <f t="shared" si="91"/>
        <v>Error?</v>
      </c>
    </row>
    <row r="5916" spans="1:4" x14ac:dyDescent="0.2">
      <c r="A5916" s="5">
        <v>5855</v>
      </c>
      <c r="B5916" s="1832">
        <f>'Revenues 9-14'!I5</f>
        <v>37073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37073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887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887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37960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37073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37073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241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241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37314</v>
      </c>
      <c r="C6023" s="2" t="s">
        <v>569</v>
      </c>
      <c r="D6023" s="2" t="str">
        <f t="shared" si="93"/>
        <v>Error?</v>
      </c>
    </row>
    <row r="6024" spans="1:5" x14ac:dyDescent="0.2">
      <c r="A6024" s="5">
        <v>5963</v>
      </c>
      <c r="B6024" s="1832">
        <f>'Revenues 9-14'!G109</f>
        <v>83875</v>
      </c>
      <c r="C6024" s="2" t="s">
        <v>569</v>
      </c>
      <c r="D6024" s="2" t="str">
        <f t="shared" si="93"/>
        <v>Error?</v>
      </c>
    </row>
    <row r="6025" spans="1:5" x14ac:dyDescent="0.2">
      <c r="A6025" s="5">
        <v>5964</v>
      </c>
      <c r="B6025" s="1832">
        <f>'Revenues 9-14'!H109</f>
        <v>24394</v>
      </c>
      <c r="C6025" s="2" t="s">
        <v>569</v>
      </c>
      <c r="D6025" s="2" t="str">
        <f t="shared" si="93"/>
        <v>Error?</v>
      </c>
    </row>
    <row r="6026" spans="1:5" x14ac:dyDescent="0.2">
      <c r="A6026" s="5">
        <v>5965</v>
      </c>
      <c r="B6026" s="1832">
        <f>'Revenues 9-14'!I109</f>
        <v>37960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37314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180.816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270884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270884</v>
      </c>
      <c r="D6215" s="2" t="str">
        <f t="shared" si="96"/>
        <v>Error?</v>
      </c>
      <c r="E6215" s="2" t="s">
        <v>189</v>
      </c>
    </row>
    <row r="6216" spans="1:5" x14ac:dyDescent="0.2">
      <c r="A6216">
        <v>6155</v>
      </c>
      <c r="B6216" s="1832">
        <f>'Assets-Liab 5-6'!J41</f>
        <v>270884</v>
      </c>
      <c r="D6216" s="2" t="str">
        <f t="shared" si="96"/>
        <v>Error?</v>
      </c>
      <c r="E6216" s="2" t="s">
        <v>189</v>
      </c>
    </row>
    <row r="6217" spans="1:5" x14ac:dyDescent="0.2">
      <c r="A6217">
        <v>6156</v>
      </c>
      <c r="B6217" s="1832">
        <f>'Assets-Liab 5-6'!J4</f>
        <v>270884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224389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224389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224389</v>
      </c>
      <c r="D6225" s="2" t="str">
        <f t="shared" si="96"/>
        <v>Error?</v>
      </c>
      <c r="E6225" s="2" t="s">
        <v>189</v>
      </c>
    </row>
    <row r="6226" spans="1:5" x14ac:dyDescent="0.2">
      <c r="A6226">
        <v>6165</v>
      </c>
      <c r="B6226" s="1832">
        <f>'Acct Summary 7-8'!J16</f>
        <v>2955</v>
      </c>
      <c r="D6226" s="2" t="str">
        <f t="shared" si="96"/>
        <v>Error?</v>
      </c>
      <c r="E6226" s="2" t="s">
        <v>189</v>
      </c>
    </row>
    <row r="6227" spans="1:5" x14ac:dyDescent="0.2">
      <c r="A6227">
        <v>6166</v>
      </c>
      <c r="B6227" s="1832">
        <f>'Acct Summary 7-8'!J17</f>
        <v>255691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255691</v>
      </c>
      <c r="D6229" s="2" t="str">
        <f t="shared" si="96"/>
        <v>Error?</v>
      </c>
      <c r="E6229" s="2" t="s">
        <v>189</v>
      </c>
    </row>
    <row r="6230" spans="1:5" x14ac:dyDescent="0.2">
      <c r="A6230">
        <v>6169</v>
      </c>
      <c r="B6230" s="1832">
        <f>'Acct Summary 7-8'!J20</f>
        <v>-31302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-31302</v>
      </c>
      <c r="D6263" s="2" t="str">
        <f t="shared" si="96"/>
        <v>Error?</v>
      </c>
      <c r="E6263" s="2" t="s">
        <v>189</v>
      </c>
    </row>
    <row r="6264" spans="1:5" x14ac:dyDescent="0.2">
      <c r="A6264">
        <v>6203</v>
      </c>
      <c r="B6264" s="1832">
        <f>'Acct Summary 7-8'!J79</f>
        <v>302186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270884</v>
      </c>
      <c r="D6266" s="2" t="str">
        <f t="shared" si="96"/>
        <v>Error?</v>
      </c>
      <c r="E6266" s="2" t="s">
        <v>189</v>
      </c>
    </row>
    <row r="6267" spans="1:5" x14ac:dyDescent="0.2">
      <c r="A6267">
        <v>6206</v>
      </c>
      <c r="B6267" s="1832">
        <f>'Acct Summary 7-8'!C82</f>
        <v>-43434</v>
      </c>
      <c r="D6267" s="2" t="str">
        <f t="shared" si="96"/>
        <v>Error?</v>
      </c>
      <c r="E6267" s="2" t="s">
        <v>189</v>
      </c>
    </row>
    <row r="6268" spans="1:5" x14ac:dyDescent="0.2">
      <c r="A6268">
        <v>6207</v>
      </c>
      <c r="B6268" s="1832">
        <f>'Acct Summary 7-8'!D82</f>
        <v>-97676</v>
      </c>
      <c r="D6268" s="2" t="str">
        <f t="shared" si="96"/>
        <v>Error?</v>
      </c>
      <c r="E6268" s="2" t="s">
        <v>189</v>
      </c>
    </row>
    <row r="6269" spans="1:5" x14ac:dyDescent="0.2">
      <c r="A6269">
        <v>6208</v>
      </c>
      <c r="B6269" s="1832">
        <f>'Acct Summary 7-8'!E82</f>
        <v>467195</v>
      </c>
      <c r="D6269" s="2" t="str">
        <f t="shared" si="96"/>
        <v>Error?</v>
      </c>
      <c r="E6269" s="2" t="s">
        <v>189</v>
      </c>
    </row>
    <row r="6270" spans="1:5" x14ac:dyDescent="0.2">
      <c r="A6270">
        <v>6209</v>
      </c>
      <c r="B6270" s="1832">
        <f>'Acct Summary 7-8'!F82</f>
        <v>4733</v>
      </c>
      <c r="D6270" s="2" t="str">
        <f t="shared" si="96"/>
        <v>Error?</v>
      </c>
      <c r="E6270" s="2" t="s">
        <v>189</v>
      </c>
    </row>
    <row r="6271" spans="1:5" x14ac:dyDescent="0.2">
      <c r="A6271">
        <v>6210</v>
      </c>
      <c r="B6271" s="1832">
        <f>'Acct Summary 7-8'!G82</f>
        <v>10575</v>
      </c>
      <c r="D6271" s="2" t="str">
        <f t="shared" ref="D6271:D6334" si="97">IF(ISBLANK(B6271),"OK",IF(A6271-B6271=0,"OK","Error?"))</f>
        <v>Error?</v>
      </c>
      <c r="E6271" s="2" t="s">
        <v>189</v>
      </c>
    </row>
    <row r="6272" spans="1:5" x14ac:dyDescent="0.2">
      <c r="A6272">
        <v>6211</v>
      </c>
      <c r="B6272" s="1832">
        <f>'Acct Summary 7-8'!H82</f>
        <v>-1546874</v>
      </c>
      <c r="D6272" s="2" t="str">
        <f t="shared" si="97"/>
        <v>Error?</v>
      </c>
      <c r="E6272" s="2" t="s">
        <v>189</v>
      </c>
    </row>
    <row r="6273" spans="1:5" x14ac:dyDescent="0.2">
      <c r="A6273">
        <v>6212</v>
      </c>
      <c r="B6273" s="1832">
        <f>'Acct Summary 7-8'!I82</f>
        <v>7960</v>
      </c>
      <c r="D6273" s="2" t="str">
        <f t="shared" si="97"/>
        <v>Error?</v>
      </c>
      <c r="E6273" s="2" t="s">
        <v>189</v>
      </c>
    </row>
    <row r="6274" spans="1:5" x14ac:dyDescent="0.2">
      <c r="A6274">
        <v>6213</v>
      </c>
      <c r="B6274" s="1832">
        <f>'Acct Summary 7-8'!J82</f>
        <v>-31302</v>
      </c>
      <c r="D6274" s="2" t="str">
        <f t="shared" si="97"/>
        <v>Error?</v>
      </c>
      <c r="E6274" s="2" t="s">
        <v>189</v>
      </c>
    </row>
    <row r="6275" spans="1:5" x14ac:dyDescent="0.2">
      <c r="A6275">
        <v>6214</v>
      </c>
      <c r="B6275" s="1832">
        <f>'Acct Summary 7-8'!K82</f>
        <v>37314</v>
      </c>
      <c r="D6275" s="2" t="str">
        <f t="shared" si="97"/>
        <v>Error?</v>
      </c>
      <c r="E6275" s="2" t="s">
        <v>189</v>
      </c>
    </row>
    <row r="6276" spans="1:5" x14ac:dyDescent="0.2">
      <c r="A6276">
        <v>6215</v>
      </c>
      <c r="B6276" s="1832">
        <f>'Acct Summary 7-8'!C83</f>
        <v>-2.0843210912141218E-2</v>
      </c>
      <c r="D6276" s="2" t="str">
        <f t="shared" si="97"/>
        <v>Error?</v>
      </c>
      <c r="E6276" s="2" t="s">
        <v>189</v>
      </c>
    </row>
    <row r="6277" spans="1:5" x14ac:dyDescent="0.2">
      <c r="A6277">
        <v>6216</v>
      </c>
      <c r="B6277" s="1832">
        <f>'Acct Summary 7-8'!D83</f>
        <v>-0.15402737851003001</v>
      </c>
      <c r="D6277" s="2" t="str">
        <f t="shared" si="97"/>
        <v>Error?</v>
      </c>
      <c r="E6277" s="2" t="s">
        <v>189</v>
      </c>
    </row>
    <row r="6278" spans="1:5" x14ac:dyDescent="0.2">
      <c r="A6278">
        <v>6217</v>
      </c>
      <c r="B6278" s="1832">
        <f>'Acct Summary 7-8'!E83</f>
        <v>0.38059111189677658</v>
      </c>
      <c r="D6278" s="2" t="str">
        <f t="shared" si="97"/>
        <v>Error?</v>
      </c>
      <c r="E6278" s="2" t="s">
        <v>189</v>
      </c>
    </row>
    <row r="6279" spans="1:5" x14ac:dyDescent="0.2">
      <c r="A6279">
        <v>6218</v>
      </c>
      <c r="B6279" s="1832">
        <f>'Acct Summary 7-8'!F83</f>
        <v>3.8658509691172988E-2</v>
      </c>
      <c r="D6279" s="2" t="str">
        <f t="shared" si="97"/>
        <v>Error?</v>
      </c>
      <c r="E6279" s="2" t="s">
        <v>189</v>
      </c>
    </row>
    <row r="6280" spans="1:5" x14ac:dyDescent="0.2">
      <c r="A6280">
        <v>6219</v>
      </c>
      <c r="B6280" s="1832">
        <f>'Acct Summary 7-8'!G83</f>
        <v>5.0270247144222131E-2</v>
      </c>
      <c r="D6280" s="2" t="str">
        <f t="shared" si="97"/>
        <v>Error?</v>
      </c>
      <c r="E6280" s="2" t="s">
        <v>189</v>
      </c>
    </row>
    <row r="6281" spans="1:5" x14ac:dyDescent="0.2">
      <c r="A6281">
        <v>6220</v>
      </c>
      <c r="B6281" s="1832">
        <f>'Acct Summary 7-8'!H83</f>
        <v>-2.5728917867003758</v>
      </c>
      <c r="D6281" s="2" t="str">
        <f t="shared" si="97"/>
        <v>Error?</v>
      </c>
      <c r="E6281" s="2" t="s">
        <v>189</v>
      </c>
    </row>
    <row r="6282" spans="1:5" x14ac:dyDescent="0.2">
      <c r="A6282">
        <v>6221</v>
      </c>
      <c r="B6282" s="1832">
        <f>'Acct Summary 7-8'!I83</f>
        <v>7.5468835921648936E-2</v>
      </c>
      <c r="D6282" s="2" t="str">
        <f t="shared" si="97"/>
        <v>Error?</v>
      </c>
      <c r="E6282" s="2" t="s">
        <v>189</v>
      </c>
    </row>
    <row r="6283" spans="1:5" x14ac:dyDescent="0.2">
      <c r="A6283">
        <v>6222</v>
      </c>
      <c r="B6283" s="1832">
        <f>'Acct Summary 7-8'!J83</f>
        <v>-0.11555499771119741</v>
      </c>
      <c r="D6283" s="2" t="str">
        <f t="shared" si="97"/>
        <v>Error?</v>
      </c>
      <c r="E6283" s="2" t="s">
        <v>189</v>
      </c>
    </row>
    <row r="6284" spans="1:5" x14ac:dyDescent="0.2">
      <c r="A6284">
        <v>6223</v>
      </c>
      <c r="B6284" s="1832">
        <f>'Acct Summary 7-8'!K83</f>
        <v>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221435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221435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2776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2776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178</v>
      </c>
      <c r="D6329" s="2" t="str">
        <f t="shared" si="97"/>
        <v>Error?</v>
      </c>
      <c r="E6329" s="2" t="s">
        <v>189</v>
      </c>
    </row>
    <row r="6330" spans="1:5" x14ac:dyDescent="0.2">
      <c r="A6330">
        <v>6269</v>
      </c>
      <c r="B6330" s="1832">
        <f>'Revenues 9-14'!C100</f>
        <v>102227</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806692</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178</v>
      </c>
      <c r="D6351" s="2" t="str">
        <f t="shared" si="98"/>
        <v>Error?</v>
      </c>
      <c r="E6351" s="2" t="s">
        <v>189</v>
      </c>
    </row>
    <row r="6352" spans="1:5" x14ac:dyDescent="0.2">
      <c r="A6352">
        <v>6291</v>
      </c>
      <c r="B6352" s="1832">
        <f>'Revenues 9-14'!J109</f>
        <v>224389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36668</v>
      </c>
      <c r="D6880" s="2" t="str">
        <f t="shared" si="106"/>
        <v>Error?</v>
      </c>
    </row>
    <row r="6881" spans="1:4" x14ac:dyDescent="0.2">
      <c r="A6881">
        <v>6820</v>
      </c>
      <c r="B6881" s="1832">
        <f>'Expenditures 15-22'!K22</f>
        <v>36668</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29827</v>
      </c>
      <c r="D6983" s="2" t="str">
        <f t="shared" si="108"/>
        <v>Error?</v>
      </c>
    </row>
    <row r="6984" spans="1:4" x14ac:dyDescent="0.2">
      <c r="A6984">
        <v>6923</v>
      </c>
      <c r="B6984" s="1832">
        <f>'Expenditures 15-22'!K86</f>
        <v>29827</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29827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252736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224389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10681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10681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5817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5817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24090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112321</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136411</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78034</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78034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398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398</v>
      </c>
      <c r="D7198" s="2" t="str">
        <f t="shared" si="111"/>
        <v>Error?</v>
      </c>
    </row>
    <row r="7199" spans="1:4" x14ac:dyDescent="0.2">
      <c r="A7199">
        <v>7138</v>
      </c>
      <c r="B7199" s="1832">
        <f>'Expenditures 15-22'!C330</f>
        <v>78034</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62381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112321</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252736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2955</v>
      </c>
      <c r="D7212" s="2" t="str">
        <f t="shared" si="111"/>
        <v>Error?</v>
      </c>
    </row>
    <row r="7213" spans="1:4" x14ac:dyDescent="0.2">
      <c r="A7213">
        <v>7152</v>
      </c>
      <c r="B7213" s="1832">
        <f>'Expenditures 15-22'!K339</f>
        <v>2955</v>
      </c>
      <c r="D7213" s="2" t="str">
        <f t="shared" si="111"/>
        <v>Error?</v>
      </c>
    </row>
    <row r="7214" spans="1:4" x14ac:dyDescent="0.2">
      <c r="A7214">
        <v>7153</v>
      </c>
      <c r="B7214" s="1832">
        <f>'Expenditures 15-22'!H340</f>
        <v>2955</v>
      </c>
      <c r="D7214" s="2" t="str">
        <f t="shared" si="111"/>
        <v>Error?</v>
      </c>
    </row>
    <row r="7215" spans="1:4" x14ac:dyDescent="0.2">
      <c r="A7215">
        <v>7154</v>
      </c>
      <c r="B7215" s="1832">
        <f>'Expenditures 15-22'!K340</f>
        <v>2955</v>
      </c>
      <c r="D7215" s="2" t="str">
        <f t="shared" si="111"/>
        <v>Error?</v>
      </c>
    </row>
    <row r="7216" spans="1:4" x14ac:dyDescent="0.2">
      <c r="A7216">
        <v>7155</v>
      </c>
      <c r="B7216" s="1832">
        <f>'Expenditures 15-22'!C342</f>
        <v>78034</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62381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112321</v>
      </c>
      <c r="D7220" s="2" t="str">
        <f t="shared" si="111"/>
        <v>Error?</v>
      </c>
    </row>
    <row r="7221" spans="1:4" x14ac:dyDescent="0.2">
      <c r="A7221">
        <v>7160</v>
      </c>
      <c r="B7221" s="1832">
        <f>'Expenditures 15-22'!H342</f>
        <v>2955</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255691</v>
      </c>
      <c r="D7224" s="2" t="str">
        <f t="shared" si="111"/>
        <v>Error?</v>
      </c>
    </row>
    <row r="7225" spans="1:4" x14ac:dyDescent="0.2">
      <c r="A7225">
        <v>7164</v>
      </c>
      <c r="B7225" s="1832">
        <f>'Expenditures 15-22'!K343</f>
        <v>-31302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343891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21395</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21395</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14829</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9240000</v>
      </c>
      <c r="D7817" s="2" t="str">
        <f t="shared" si="128"/>
        <v>Error?</v>
      </c>
      <c r="E7817" s="4" t="s">
        <v>1966</v>
      </c>
    </row>
    <row r="7818" spans="1:5" x14ac:dyDescent="0.2">
      <c r="A7818">
        <v>7757</v>
      </c>
      <c r="B7818" s="1832">
        <f>'PCTC-OEPP 27-28'!F172</f>
        <v>37936</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3530567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575035</v>
      </c>
      <c r="D7834" s="2" t="str">
        <f t="shared" si="129"/>
        <v>Error?</v>
      </c>
      <c r="E7834" s="4" t="s">
        <v>1998</v>
      </c>
    </row>
    <row r="7835" spans="1:5" x14ac:dyDescent="0.2">
      <c r="A7835">
        <v>7774</v>
      </c>
      <c r="B7835" s="1832">
        <f>'PCTC-OEPP 27-28'!F78</f>
        <v>2955532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16345.522520130962</v>
      </c>
      <c r="D7837" s="2" t="str">
        <f t="shared" si="129"/>
        <v>Error?</v>
      </c>
      <c r="E7837" s="4" t="s">
        <v>1998</v>
      </c>
    </row>
    <row r="7838" spans="1:5" x14ac:dyDescent="0.2">
      <c r="A7838">
        <v>7777</v>
      </c>
      <c r="B7838" s="1832">
        <f>'PCTC-OEPP 27-28'!F96</f>
        <v>22375</v>
      </c>
      <c r="D7838" s="2" t="str">
        <f t="shared" si="129"/>
        <v>Error?</v>
      </c>
      <c r="E7838" s="4" t="s">
        <v>1998</v>
      </c>
    </row>
    <row r="7839" spans="1:5" x14ac:dyDescent="0.2">
      <c r="A7839">
        <v>7778</v>
      </c>
      <c r="B7839" s="1832">
        <f>'PCTC-OEPP 27-28'!F102</f>
        <v>150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12501</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118391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4644</v>
      </c>
      <c r="D7856" s="2" t="str">
        <f t="shared" si="129"/>
        <v>Error?</v>
      </c>
      <c r="E7856" s="4" t="s">
        <v>1998</v>
      </c>
    </row>
    <row r="7857" spans="1:5" x14ac:dyDescent="0.2">
      <c r="A7857">
        <v>7796</v>
      </c>
      <c r="B7857" s="1832">
        <f>'PCTC-OEPP 27-28'!F125</f>
        <v>20510</v>
      </c>
      <c r="D7857" s="2" t="str">
        <f t="shared" si="129"/>
        <v>Error?</v>
      </c>
      <c r="E7857" s="4" t="s">
        <v>1998</v>
      </c>
    </row>
    <row r="7858" spans="1:5" x14ac:dyDescent="0.2">
      <c r="A7858">
        <v>7797</v>
      </c>
      <c r="B7858" s="1832">
        <f>'PCTC-OEPP 27-28'!F126</f>
        <v>3802</v>
      </c>
      <c r="D7858" s="2" t="str">
        <f t="shared" si="129"/>
        <v>Error?</v>
      </c>
      <c r="E7858" s="4" t="s">
        <v>1998</v>
      </c>
    </row>
    <row r="7859" spans="1:5" x14ac:dyDescent="0.2">
      <c r="A7859">
        <v>7798</v>
      </c>
      <c r="B7859" s="1832">
        <f>'PCTC-OEPP 27-28'!F127</f>
        <v>32739</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69075</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5514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1376</v>
      </c>
      <c r="D7874" s="2" t="str">
        <f t="shared" si="129"/>
        <v>Error?</v>
      </c>
      <c r="E7874" s="4" t="s">
        <v>1998</v>
      </c>
    </row>
    <row r="7875" spans="1:5" x14ac:dyDescent="0.2">
      <c r="A7875">
        <v>7814</v>
      </c>
      <c r="B7875" s="1832">
        <f>'PCTC-OEPP 27-28'!F170</f>
        <v>5983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356083</v>
      </c>
      <c r="D7877" s="2" t="str">
        <f t="shared" si="129"/>
        <v>Error?</v>
      </c>
      <c r="E7877" s="4" t="s">
        <v>1998</v>
      </c>
    </row>
    <row r="7878" spans="1:5" x14ac:dyDescent="0.2">
      <c r="A7878">
        <v>7817</v>
      </c>
      <c r="B7878" s="1832">
        <f>'PCTC-OEPP 27-28'!F176</f>
        <v>2599449</v>
      </c>
      <c r="D7878" s="2" t="str">
        <f t="shared" si="129"/>
        <v>Error?</v>
      </c>
      <c r="E7878" s="4" t="s">
        <v>1998</v>
      </c>
    </row>
    <row r="7879" spans="1:5" x14ac:dyDescent="0.2">
      <c r="A7879">
        <v>7818</v>
      </c>
      <c r="B7879" s="1832">
        <f>'PCTC-OEPP 27-28'!F178</f>
        <v>2943340</v>
      </c>
      <c r="D7879" s="2" t="str">
        <f t="shared" si="129"/>
        <v>Error?</v>
      </c>
      <c r="E7879" s="4" t="s">
        <v>1998</v>
      </c>
    </row>
    <row r="7880" spans="1:5" x14ac:dyDescent="0.2">
      <c r="A7880">
        <v>7819</v>
      </c>
      <c r="B7880" s="1832">
        <f>'PCTC-OEPP 27-28'!F180</f>
        <v>16278.094858862047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112321</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Waltham CCSD 185</v>
      </c>
      <c r="B7" s="2517"/>
      <c r="C7" s="2517"/>
      <c r="D7" s="2555"/>
      <c r="E7" s="2556" t="str">
        <f>COVER!A13</f>
        <v>35-050-1850-04</v>
      </c>
      <c r="F7" s="2557"/>
      <c r="G7" s="2523" t="str">
        <f>COVER!T23</f>
        <v>066-004501</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Hopkins &amp; Associates, CPAs</v>
      </c>
      <c r="H9" s="2530"/>
      <c r="I9" s="2530"/>
      <c r="J9" s="2530"/>
      <c r="K9" s="2530"/>
      <c r="L9" s="2531"/>
    </row>
    <row r="10" spans="1:29" ht="13.5" customHeight="1" x14ac:dyDescent="0.2">
      <c r="A10" s="2513" t="str">
        <f>COVER!A38</f>
        <v>Kristine Eager</v>
      </c>
      <c r="B10" s="2514"/>
      <c r="C10" s="2514"/>
      <c r="D10" s="2514"/>
      <c r="E10" s="2514"/>
      <c r="F10" s="2515"/>
      <c r="G10" s="2529" t="str">
        <f>COVER!T17</f>
        <v>314 S. McCoy St.</v>
      </c>
      <c r="H10" s="2542"/>
      <c r="I10" s="2542"/>
      <c r="J10" s="2542"/>
      <c r="K10" s="2542"/>
      <c r="L10" s="2543"/>
    </row>
    <row r="11" spans="1:29" ht="13.5" customHeight="1" x14ac:dyDescent="0.2">
      <c r="A11" s="963" t="s">
        <v>1502</v>
      </c>
      <c r="B11" s="964"/>
      <c r="C11" s="965"/>
      <c r="D11" s="970"/>
      <c r="E11" s="965"/>
      <c r="F11" s="969"/>
      <c r="G11" s="2529" t="str">
        <f>COVER!T19</f>
        <v>Granville</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kim@hopkinsoffice.com</v>
      </c>
      <c r="J13" s="2551"/>
      <c r="K13" s="2551"/>
      <c r="L13" s="2552"/>
    </row>
    <row r="14" spans="1:29" ht="13.5" customHeight="1" x14ac:dyDescent="0.2">
      <c r="A14" s="2529" t="str">
        <f>COVER!A19</f>
        <v>2902 N IL ROUTE 178</v>
      </c>
      <c r="B14" s="2542"/>
      <c r="C14" s="2542"/>
      <c r="D14" s="2542"/>
      <c r="E14" s="2542"/>
      <c r="F14" s="2543"/>
      <c r="G14" s="974" t="s">
        <v>1175</v>
      </c>
      <c r="H14" s="972"/>
      <c r="I14" s="972"/>
      <c r="J14" s="972"/>
      <c r="K14" s="972"/>
      <c r="L14" s="973"/>
    </row>
    <row r="15" spans="1:29" ht="13.5" customHeight="1" x14ac:dyDescent="0.2">
      <c r="A15" s="2529" t="str">
        <f>COVER!A21</f>
        <v>North Utica</v>
      </c>
      <c r="B15" s="2542"/>
      <c r="C15" s="2542"/>
      <c r="D15" s="2542"/>
      <c r="E15" s="2542"/>
      <c r="F15" s="2543"/>
      <c r="G15" s="2539" t="str">
        <f>COVER!T15</f>
        <v>Kim Bird</v>
      </c>
      <c r="H15" s="2540"/>
      <c r="I15" s="2540"/>
      <c r="J15" s="2540"/>
      <c r="K15" s="2540"/>
      <c r="L15" s="2541"/>
    </row>
    <row r="16" spans="1:29" ht="12.2" customHeight="1" x14ac:dyDescent="0.2">
      <c r="A16" s="2519">
        <f>COVER!A25</f>
        <v>61373</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815-339-6630</v>
      </c>
      <c r="H18" s="2517"/>
      <c r="I18" s="2517"/>
      <c r="J18" s="2517"/>
      <c r="K18" s="2516" t="str">
        <f>COVER!X21</f>
        <v>815-339-6643</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Waltham CCSD 185</v>
      </c>
      <c r="B1" s="2559"/>
      <c r="C1" s="2559"/>
      <c r="D1" s="2559"/>
    </row>
    <row r="2" spans="1:11" s="991" customFormat="1" ht="12.75" x14ac:dyDescent="0.2">
      <c r="A2" s="2560" t="str">
        <f>'Single Audit Cover'!E7</f>
        <v>35-050-1850-04</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Waltham CCSD 185</v>
      </c>
      <c r="B1" s="2563"/>
      <c r="C1" s="2563"/>
      <c r="D1" s="2563"/>
      <c r="E1" s="2563"/>
    </row>
    <row r="2" spans="1:5" x14ac:dyDescent="0.2">
      <c r="A2" s="2564" t="str">
        <f>'Single Audit Cover'!E7</f>
        <v>35-050-1850-04</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146030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-5983</v>
      </c>
    </row>
    <row r="19" spans="1:4" ht="13.5" thickBot="1" x14ac:dyDescent="0.25">
      <c r="A19" s="1041" t="s">
        <v>1224</v>
      </c>
      <c r="D19" s="1042">
        <f>SUM(D10:D17)</f>
        <v>140047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140047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140047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Waltham CCSD 185</v>
      </c>
      <c r="C1" s="2567"/>
      <c r="D1" s="2567"/>
      <c r="E1" s="2567"/>
      <c r="F1" s="2567"/>
      <c r="G1" s="2567"/>
      <c r="H1" s="2567"/>
      <c r="I1" s="2567"/>
      <c r="J1" s="2567"/>
      <c r="K1" s="2567"/>
      <c r="L1" s="2567"/>
      <c r="M1" s="2567"/>
    </row>
    <row r="2" spans="2:14" ht="15" x14ac:dyDescent="0.2">
      <c r="B2" s="2568" t="str">
        <f>'Single Audit Cover'!E7</f>
        <v>35-050-1850-04</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Waltham CCSD 185</v>
      </c>
      <c r="B1" s="2572"/>
      <c r="C1" s="2572"/>
      <c r="D1" s="2572"/>
      <c r="E1" s="2572"/>
      <c r="F1" s="2572"/>
    </row>
    <row r="2" spans="1:7" ht="13.5" customHeight="1" x14ac:dyDescent="0.2">
      <c r="A2" s="2568" t="str">
        <f>'Single Audit Cover'!E7</f>
        <v>35-050-1850-04</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2061</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Waltham CCSD 185</v>
      </c>
      <c r="C1" s="2588"/>
      <c r="D1" s="2588"/>
      <c r="E1" s="2588"/>
      <c r="F1" s="2588"/>
      <c r="G1" s="2588"/>
      <c r="H1" s="2588"/>
      <c r="I1" s="2588"/>
      <c r="J1" s="1178"/>
    </row>
    <row r="2" spans="2:10" s="295" customFormat="1" ht="12.75" customHeight="1" x14ac:dyDescent="0.2">
      <c r="B2" s="2589" t="str">
        <f>'Single Audit Cover'!E7</f>
        <v>35-050-1850-04</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6" t="str">
        <f>"Total Federal Expenditures for 7/1/"&amp;MID('AFR20'!E2,3,2)-1&amp;"-6/30/"&amp;MID('AFR20'!E2,3,2)</f>
        <v>Total Federal Expenditures for 7/1/19-6/30/20</v>
      </c>
      <c r="C45" s="1917"/>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Waltham CCSD 185</v>
      </c>
      <c r="C1" s="2587"/>
      <c r="D1" s="2587"/>
      <c r="E1" s="2587"/>
      <c r="F1" s="2587"/>
      <c r="G1" s="2587"/>
      <c r="H1" s="2587"/>
      <c r="I1" s="2587"/>
      <c r="J1" s="2587"/>
      <c r="K1" s="2587"/>
      <c r="L1" s="1144"/>
      <c r="M1" s="1144"/>
    </row>
    <row r="2" spans="1:13" ht="12" customHeight="1" x14ac:dyDescent="0.2">
      <c r="B2" s="2589" t="str">
        <f>'Single Audit Cover'!E7</f>
        <v>35-050-1850-04</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Waltham CCSD 185</v>
      </c>
      <c r="C1" s="2614"/>
      <c r="D1" s="2614"/>
      <c r="E1" s="2614"/>
      <c r="F1" s="2614"/>
      <c r="G1" s="2614"/>
      <c r="H1" s="2614"/>
      <c r="I1" s="2614"/>
      <c r="J1" s="2614"/>
      <c r="K1" s="2614"/>
      <c r="L1" s="1221"/>
    </row>
    <row r="2" spans="1:12" ht="12.75" customHeight="1" x14ac:dyDescent="0.2">
      <c r="B2" s="2615" t="str">
        <f>'Single Audit Cover'!E7</f>
        <v>35-050-1850-04</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Waltham CCSD 185</v>
      </c>
      <c r="C1" s="2587"/>
      <c r="D1" s="2587"/>
      <c r="E1" s="1240"/>
    </row>
    <row r="2" spans="2:5" s="1058" customFormat="1" ht="12.75" customHeight="1" x14ac:dyDescent="0.2">
      <c r="B2" s="2589" t="str">
        <f>'Single Audit Cover'!E7</f>
        <v>35-050-1850-04</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81178430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1.9900000000000001E-2</v>
      </c>
      <c r="E10" s="333" t="s">
        <v>998</v>
      </c>
      <c r="F10" s="332">
        <v>2.5000000000000001E-3</v>
      </c>
      <c r="G10" s="333" t="s">
        <v>998</v>
      </c>
      <c r="H10" s="332">
        <v>1.1999999999999999E-3</v>
      </c>
      <c r="I10" s="333" t="s">
        <v>999</v>
      </c>
      <c r="J10" s="1424">
        <f>ROUND(D10+F10+H10,5)</f>
        <v>2.3599999999999999E-2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2570867</v>
      </c>
      <c r="E16" s="1547"/>
      <c r="F16" s="1546">
        <f>SUM('Acct Summary 7-8'!C17,'Acct Summary 7-8'!D17,'Acct Summary 7-8'!F17)</f>
        <v>2703849</v>
      </c>
      <c r="G16" s="1547"/>
      <c r="H16" s="1546">
        <f>SUM(D16-F16)</f>
        <v>-132982</v>
      </c>
      <c r="I16" s="1548"/>
      <c r="J16" s="1546">
        <f>SUM('Acct Summary 7-8'!C81,'Acct Summary 7-8'!D81,'Acct Summary 7-8'!F81,'Acct Summary 7-8'!I81)</f>
        <v>2945896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5601311.6700000009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9115000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4" sqref="H1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Waltham CCSD 185</v>
      </c>
      <c r="E7" s="368"/>
      <c r="G7" s="247"/>
      <c r="H7" s="364"/>
      <c r="I7" s="364"/>
      <c r="J7" s="364"/>
      <c r="K7" s="364"/>
      <c r="L7" s="307"/>
      <c r="M7" s="307"/>
      <c r="N7" s="307"/>
      <c r="O7" s="307"/>
      <c r="P7" s="307"/>
    </row>
    <row r="8" spans="1:18" ht="12.75" x14ac:dyDescent="0.2">
      <c r="A8" s="307"/>
      <c r="B8" s="307"/>
      <c r="C8" s="366" t="s">
        <v>1115</v>
      </c>
      <c r="D8" s="369" t="str">
        <f>COVER!A13</f>
        <v>35-050-1850-04</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2945896</v>
      </c>
      <c r="I12" s="380"/>
      <c r="J12" s="380"/>
      <c r="K12" s="1559">
        <f>TRUNC((H12/H13*100000),5)/100000</f>
        <v>1.1458764689000001</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2570867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2703849</v>
      </c>
      <c r="I17" s="380"/>
      <c r="J17" s="389"/>
      <c r="K17" s="1559">
        <f>TRUNC((H17/H18*100000),5)/100000</f>
        <v>1.0517265187</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2570867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20.2193477</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2945896</v>
      </c>
      <c r="I24" s="394"/>
      <c r="J24" s="394"/>
      <c r="K24" s="1555">
        <f>TRUNC(((H24/H25*100000)/100000),2)</f>
        <v>392.22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7510.6916700000002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1628439.3058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9115000</v>
      </c>
      <c r="I32" s="392"/>
      <c r="J32" s="392"/>
      <c r="K32" s="1555">
        <f>TRUNC(100-((((H32/H33*100))*100)/100),2)</f>
        <v>-62.72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5601311.6700000009</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G40" sqref="G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2083844</v>
      </c>
      <c r="D4" s="1573">
        <v>634147</v>
      </c>
      <c r="E4" s="1573">
        <v>1227551</v>
      </c>
      <c r="F4" s="1573">
        <v>122431</v>
      </c>
      <c r="G4" s="1573">
        <v>210363</v>
      </c>
      <c r="H4" s="1573">
        <v>601220</v>
      </c>
      <c r="I4" s="1573">
        <v>105474</v>
      </c>
      <c r="J4" s="1574">
        <v>270884</v>
      </c>
      <c r="K4" s="1573">
        <v>37314</v>
      </c>
      <c r="L4" s="1573">
        <v>3748</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2083844</v>
      </c>
      <c r="D13" s="1587">
        <f t="shared" ref="D13:L13" si="0">SUM(D4:D12)</f>
        <v>634147</v>
      </c>
      <c r="E13" s="1587">
        <f t="shared" si="0"/>
        <v>1227551</v>
      </c>
      <c r="F13" s="1587">
        <f t="shared" si="0"/>
        <v>122431</v>
      </c>
      <c r="G13" s="1587">
        <f t="shared" si="0"/>
        <v>210363</v>
      </c>
      <c r="H13" s="1587">
        <f t="shared" si="0"/>
        <v>601220</v>
      </c>
      <c r="I13" s="1587">
        <f t="shared" si="0"/>
        <v>105474</v>
      </c>
      <c r="J13" s="1587">
        <f t="shared" si="0"/>
        <v>270884</v>
      </c>
      <c r="K13" s="1587">
        <f t="shared" si="0"/>
        <v>37314</v>
      </c>
      <c r="L13" s="1587">
        <f t="shared" si="0"/>
        <v>3748</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294090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12441289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124540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1122463+274474</f>
        <v>1396937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1227551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7887449</v>
      </c>
    </row>
    <row r="23" spans="1:14" ht="13.5" customHeight="1" thickBot="1" x14ac:dyDescent="0.25">
      <c r="A23" s="1426" t="s">
        <v>638</v>
      </c>
      <c r="B23" s="1429"/>
      <c r="C23" s="1575"/>
      <c r="D23" s="1575"/>
      <c r="E23" s="1575"/>
      <c r="F23" s="1575"/>
      <c r="G23" s="1575"/>
      <c r="H23" s="1575"/>
      <c r="I23" s="1575"/>
      <c r="J23" s="1575"/>
      <c r="K23" s="1575"/>
      <c r="L23" s="1575"/>
      <c r="M23" s="1594">
        <f>SUM(M15:M22)</f>
        <v>14256856</v>
      </c>
      <c r="N23" s="1594">
        <f>SUM(N21:N22)</f>
        <v>9115000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3748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3748</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9115000</v>
      </c>
    </row>
    <row r="37" spans="1:14" ht="13.5" thickBot="1" x14ac:dyDescent="0.25">
      <c r="A37" s="1426" t="s">
        <v>648</v>
      </c>
      <c r="B37" s="1429"/>
      <c r="C37" s="1582"/>
      <c r="D37" s="1582"/>
      <c r="E37" s="1582"/>
      <c r="F37" s="1582"/>
      <c r="G37" s="1582"/>
      <c r="H37" s="1582"/>
      <c r="I37" s="1582"/>
      <c r="J37" s="1582"/>
      <c r="K37" s="1582"/>
      <c r="L37" s="1585"/>
      <c r="M37" s="1575"/>
      <c r="N37" s="1594">
        <f>SUM(N36:N36)</f>
        <v>9115000</v>
      </c>
    </row>
    <row r="38" spans="1:14" s="307" customFormat="1" ht="13.5" customHeight="1" thickTop="1" x14ac:dyDescent="0.2">
      <c r="A38" s="438" t="s">
        <v>417</v>
      </c>
      <c r="B38" s="432">
        <v>714</v>
      </c>
      <c r="C38" s="1573"/>
      <c r="D38" s="1573"/>
      <c r="E38" s="1573"/>
      <c r="F38" s="1573"/>
      <c r="G38" s="1573">
        <v>51476</v>
      </c>
      <c r="H38" s="1573"/>
      <c r="I38" s="1573"/>
      <c r="J38" s="1574"/>
      <c r="K38" s="1573"/>
      <c r="L38" s="1586"/>
      <c r="M38" s="1604"/>
      <c r="N38" s="1604"/>
    </row>
    <row r="39" spans="1:14" s="307" customFormat="1" ht="13.5" customHeight="1" x14ac:dyDescent="0.2">
      <c r="A39" s="438" t="s">
        <v>339</v>
      </c>
      <c r="B39" s="432">
        <v>730</v>
      </c>
      <c r="C39" s="1573">
        <v>2083844</v>
      </c>
      <c r="D39" s="1573">
        <v>634147</v>
      </c>
      <c r="E39" s="1573">
        <v>1227551</v>
      </c>
      <c r="F39" s="1573">
        <v>122431</v>
      </c>
      <c r="G39" s="1573">
        <f>-51476+210363</f>
        <v>158887</v>
      </c>
      <c r="H39" s="1573">
        <v>601220</v>
      </c>
      <c r="I39" s="1573">
        <v>105474</v>
      </c>
      <c r="J39" s="1574">
        <v>270884</v>
      </c>
      <c r="K39" s="1573">
        <v>37314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14256856</v>
      </c>
      <c r="N40" s="1604"/>
    </row>
    <row r="41" spans="1:14" ht="13.5" customHeight="1" thickBot="1" x14ac:dyDescent="0.25">
      <c r="A41" s="1426" t="s">
        <v>650</v>
      </c>
      <c r="B41" s="1405"/>
      <c r="C41" s="1594">
        <f>(SUM(C34,C37,C38,C39))</f>
        <v>2083844</v>
      </c>
      <c r="D41" s="1594">
        <f t="shared" ref="D41:L41" si="2">SUM(D34,D37,D38:D39)</f>
        <v>634147</v>
      </c>
      <c r="E41" s="1594">
        <f t="shared" si="2"/>
        <v>1227551</v>
      </c>
      <c r="F41" s="1594">
        <f t="shared" si="2"/>
        <v>122431</v>
      </c>
      <c r="G41" s="1594">
        <f t="shared" si="2"/>
        <v>210363</v>
      </c>
      <c r="H41" s="1594">
        <f t="shared" si="2"/>
        <v>601220</v>
      </c>
      <c r="I41" s="1594">
        <f t="shared" si="2"/>
        <v>105474</v>
      </c>
      <c r="J41" s="1594">
        <f t="shared" si="2"/>
        <v>270884</v>
      </c>
      <c r="K41" s="1594">
        <f t="shared" si="2"/>
        <v>37314</v>
      </c>
      <c r="L41" s="1594">
        <f t="shared" si="2"/>
        <v>3748</v>
      </c>
      <c r="M41" s="1594">
        <f>SUM(M40)</f>
        <v>14256856</v>
      </c>
      <c r="N41" s="1594">
        <f>SUM(N37)</f>
        <v>9115000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1813344</v>
      </c>
      <c r="D4" s="1606">
        <f>'Revenues 9-14'!D109</f>
        <v>191101</v>
      </c>
      <c r="E4" s="1606">
        <f>'Revenues 9-14'!E109</f>
        <v>959745</v>
      </c>
      <c r="F4" s="1606">
        <f>'Revenues 9-14'!F109</f>
        <v>90896</v>
      </c>
      <c r="G4" s="1606">
        <f>'Revenues 9-14'!G109</f>
        <v>83875</v>
      </c>
      <c r="H4" s="1606">
        <f>'Revenues 9-14'!H109</f>
        <v>24394</v>
      </c>
      <c r="I4" s="1606">
        <f>'Revenues 9-14'!I109</f>
        <v>37960</v>
      </c>
      <c r="J4" s="1606">
        <f>'Revenues 9-14'!J109</f>
        <v>224389</v>
      </c>
      <c r="K4" s="1606">
        <f>'Revenues 9-14'!K109</f>
        <v>37314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178322</v>
      </c>
      <c r="D6" s="1607">
        <f>'Revenues 9-14'!D170</f>
        <v>0</v>
      </c>
      <c r="E6" s="1607">
        <f>'Revenues 9-14'!E170</f>
        <v>0</v>
      </c>
      <c r="F6" s="1607">
        <f>'Revenues 9-14'!F170</f>
        <v>118391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136209</v>
      </c>
      <c r="D7" s="1607">
        <f>'Revenues 9-14'!D267</f>
        <v>4644</v>
      </c>
      <c r="E7" s="1607">
        <f>'Revenues 9-14'!E267</f>
        <v>0</v>
      </c>
      <c r="F7" s="1607">
        <f>'Revenues 9-14'!F267</f>
        <v>0</v>
      </c>
      <c r="G7" s="1607">
        <f>'Revenues 9-14'!G267</f>
        <v>5177</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2127875</v>
      </c>
      <c r="D8" s="1594">
        <f t="shared" ref="D8:K8" si="0">SUM(D4:D7)</f>
        <v>195745</v>
      </c>
      <c r="E8" s="1594">
        <f t="shared" si="0"/>
        <v>959745</v>
      </c>
      <c r="F8" s="1594">
        <f t="shared" si="0"/>
        <v>209287</v>
      </c>
      <c r="G8" s="1594">
        <f t="shared" si="0"/>
        <v>89052</v>
      </c>
      <c r="H8" s="1594">
        <f t="shared" si="0"/>
        <v>24394</v>
      </c>
      <c r="I8" s="1594">
        <f t="shared" si="0"/>
        <v>37960</v>
      </c>
      <c r="J8" s="1594">
        <f t="shared" si="0"/>
        <v>224389</v>
      </c>
      <c r="K8" s="1594">
        <f t="shared" si="0"/>
        <v>37314</v>
      </c>
      <c r="L8" s="325"/>
    </row>
    <row r="9" spans="1:13" ht="15.75" thickTop="1" x14ac:dyDescent="0.2">
      <c r="A9" s="449" t="s">
        <v>1634</v>
      </c>
      <c r="B9" s="450">
        <v>3998</v>
      </c>
      <c r="C9" s="1586">
        <f>896944+14957</f>
        <v>911901</v>
      </c>
      <c r="D9" s="1613"/>
      <c r="E9" s="1586"/>
      <c r="F9" s="1586"/>
      <c r="G9" s="1614"/>
      <c r="H9" s="1586"/>
      <c r="I9" s="1609" t="s">
        <v>1159</v>
      </c>
      <c r="J9" s="1583"/>
      <c r="K9" s="1586"/>
      <c r="L9" s="325"/>
    </row>
    <row r="10" spans="1:13" s="452" customFormat="1" ht="13.5" thickBot="1" x14ac:dyDescent="0.25">
      <c r="A10" s="1426" t="s">
        <v>1163</v>
      </c>
      <c r="B10" s="1407"/>
      <c r="C10" s="1594">
        <f>SUM(C8:C9)</f>
        <v>3039776</v>
      </c>
      <c r="D10" s="1594">
        <f t="shared" ref="D10:K10" si="1">SUM(D8:D9)</f>
        <v>195745</v>
      </c>
      <c r="E10" s="1594">
        <f t="shared" si="1"/>
        <v>959745</v>
      </c>
      <c r="F10" s="1594">
        <f t="shared" si="1"/>
        <v>209287</v>
      </c>
      <c r="G10" s="1594">
        <f t="shared" si="1"/>
        <v>89052</v>
      </c>
      <c r="H10" s="1594">
        <f t="shared" si="1"/>
        <v>24394</v>
      </c>
      <c r="I10" s="1594">
        <f t="shared" si="1"/>
        <v>37960</v>
      </c>
      <c r="J10" s="1594">
        <f t="shared" si="1"/>
        <v>224389</v>
      </c>
      <c r="K10" s="1594">
        <f t="shared" si="1"/>
        <v>37314</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1414384</v>
      </c>
      <c r="D12" s="1616" t="s">
        <v>1159</v>
      </c>
      <c r="E12" s="1575" t="s">
        <v>1159</v>
      </c>
      <c r="F12" s="1575" t="s">
        <v>1159</v>
      </c>
      <c r="G12" s="1606">
        <f>'Expenditures 15-22'!K229</f>
        <v>28414</v>
      </c>
      <c r="H12" s="1617"/>
      <c r="I12" s="1575" t="s">
        <v>1159</v>
      </c>
      <c r="J12" s="1575" t="s">
        <v>1159</v>
      </c>
      <c r="K12" s="1617" t="s">
        <v>1159</v>
      </c>
      <c r="L12" s="325"/>
    </row>
    <row r="13" spans="1:13" ht="15.75" customHeight="1" x14ac:dyDescent="0.2">
      <c r="A13" s="1314" t="s">
        <v>454</v>
      </c>
      <c r="B13" s="1316">
        <v>2000</v>
      </c>
      <c r="C13" s="1607">
        <f>'Expenditures 15-22'!K74</f>
        <v>626411</v>
      </c>
      <c r="D13" s="1607">
        <f>'Expenditures 15-22'!K129</f>
        <v>297986</v>
      </c>
      <c r="E13" s="1576" t="s">
        <v>1159</v>
      </c>
      <c r="F13" s="1607">
        <f>'Expenditures 15-22'!K184</f>
        <v>204554</v>
      </c>
      <c r="G13" s="1607">
        <f>'Expenditures 15-22'!K279</f>
        <v>50063</v>
      </c>
      <c r="H13" s="1607">
        <f>'Expenditures 15-22'!K303</f>
        <v>1569768</v>
      </c>
      <c r="I13" s="1575" t="s">
        <v>1159</v>
      </c>
      <c r="J13" s="1607">
        <f>'Expenditures 15-22'!K330</f>
        <v>252736</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160514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492550</v>
      </c>
      <c r="F16" s="1607">
        <f>'Expenditures 15-22'!K208</f>
        <v>0</v>
      </c>
      <c r="G16" s="1607">
        <f>'Expenditures 15-22'!K293</f>
        <v>0</v>
      </c>
      <c r="H16" s="1620"/>
      <c r="I16" s="1575" t="s">
        <v>1159</v>
      </c>
      <c r="J16" s="1621">
        <f>'Expenditures 15-22'!K340</f>
        <v>2955</v>
      </c>
      <c r="K16" s="1607">
        <f>'Expenditures 15-22'!K365</f>
        <v>0</v>
      </c>
      <c r="L16" s="325"/>
    </row>
    <row r="17" spans="1:12" ht="13.5" thickBot="1" x14ac:dyDescent="0.25">
      <c r="A17" s="1406" t="s">
        <v>48</v>
      </c>
      <c r="B17" s="1407"/>
      <c r="C17" s="1594">
        <f t="shared" ref="C17:H17" si="2">SUM(C12:C16)</f>
        <v>2201309</v>
      </c>
      <c r="D17" s="1594">
        <f t="shared" si="2"/>
        <v>297986</v>
      </c>
      <c r="E17" s="1594">
        <f t="shared" si="2"/>
        <v>492550</v>
      </c>
      <c r="F17" s="1594">
        <f t="shared" si="2"/>
        <v>204554</v>
      </c>
      <c r="G17" s="1594">
        <f t="shared" si="2"/>
        <v>78477</v>
      </c>
      <c r="H17" s="1594">
        <f t="shared" si="2"/>
        <v>1569768</v>
      </c>
      <c r="I17" s="1575"/>
      <c r="J17" s="1594">
        <f>SUM(J12:J16)</f>
        <v>255691</v>
      </c>
      <c r="K17" s="1594">
        <f>SUM(K12:K16)</f>
        <v>0</v>
      </c>
      <c r="L17" s="325"/>
    </row>
    <row r="18" spans="1:12" ht="15" customHeight="1" thickTop="1" x14ac:dyDescent="0.2">
      <c r="A18" s="1430" t="s">
        <v>1635</v>
      </c>
      <c r="B18" s="1431">
        <v>4180</v>
      </c>
      <c r="C18" s="1606">
        <f t="shared" ref="C18:H18" si="3">C9</f>
        <v>911901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3113210</v>
      </c>
      <c r="D19" s="1594">
        <f t="shared" si="4"/>
        <v>297986</v>
      </c>
      <c r="E19" s="1594">
        <f t="shared" si="4"/>
        <v>492550</v>
      </c>
      <c r="F19" s="1594">
        <f t="shared" si="4"/>
        <v>204554</v>
      </c>
      <c r="G19" s="1594">
        <f t="shared" si="4"/>
        <v>78477</v>
      </c>
      <c r="H19" s="1594">
        <f t="shared" si="4"/>
        <v>1569768</v>
      </c>
      <c r="I19" s="1575"/>
      <c r="J19" s="1594">
        <f>SUM(J17:J18)</f>
        <v>255691</v>
      </c>
      <c r="K19" s="1594">
        <f>SUM(K17:K18)</f>
        <v>0</v>
      </c>
      <c r="L19" s="325"/>
    </row>
    <row r="20" spans="1:12" ht="16.5" thickTop="1" thickBot="1" x14ac:dyDescent="0.25">
      <c r="A20" s="2232" t="s">
        <v>1636</v>
      </c>
      <c r="B20" s="2233"/>
      <c r="C20" s="1622">
        <f>C8-C17</f>
        <v>-73434</v>
      </c>
      <c r="D20" s="1622">
        <f t="shared" ref="D20:K20" si="5">D8-D17</f>
        <v>-102241</v>
      </c>
      <c r="E20" s="1622">
        <f t="shared" si="5"/>
        <v>467195</v>
      </c>
      <c r="F20" s="1622">
        <f t="shared" si="5"/>
        <v>4733</v>
      </c>
      <c r="G20" s="1622">
        <f t="shared" si="5"/>
        <v>10575</v>
      </c>
      <c r="H20" s="1622">
        <f t="shared" si="5"/>
        <v>-1545374</v>
      </c>
      <c r="I20" s="1622">
        <f t="shared" si="5"/>
        <v>37960</v>
      </c>
      <c r="J20" s="1622">
        <f t="shared" si="5"/>
        <v>-31302</v>
      </c>
      <c r="K20" s="1622">
        <f t="shared" si="5"/>
        <v>37314</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v>30000</v>
      </c>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v>4565</v>
      </c>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30000</v>
      </c>
      <c r="D44" s="1624">
        <f t="shared" ref="D44:K44" si="6">SUM(D24:D43)</f>
        <v>4565</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v>1500</v>
      </c>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1500</v>
      </c>
      <c r="I76" s="1624">
        <f t="shared" si="7"/>
        <v>30000</v>
      </c>
      <c r="J76" s="1624">
        <f t="shared" si="7"/>
        <v>0</v>
      </c>
      <c r="K76" s="1624">
        <f t="shared" si="7"/>
        <v>0</v>
      </c>
      <c r="L76" s="453"/>
    </row>
    <row r="77" spans="1:12" ht="14.25" thickTop="1" thickBot="1" x14ac:dyDescent="0.25">
      <c r="A77" s="2224" t="s">
        <v>1167</v>
      </c>
      <c r="B77" s="2225"/>
      <c r="C77" s="1624">
        <f t="shared" ref="C77:K77" si="8">C44-C76</f>
        <v>30000</v>
      </c>
      <c r="D77" s="1624">
        <f t="shared" si="8"/>
        <v>4565</v>
      </c>
      <c r="E77" s="1624">
        <f t="shared" si="8"/>
        <v>0</v>
      </c>
      <c r="F77" s="1624">
        <f t="shared" si="8"/>
        <v>0</v>
      </c>
      <c r="G77" s="1624">
        <f t="shared" si="8"/>
        <v>0</v>
      </c>
      <c r="H77" s="1624">
        <f t="shared" si="8"/>
        <v>-1500</v>
      </c>
      <c r="I77" s="1624">
        <f t="shared" si="8"/>
        <v>-30000</v>
      </c>
      <c r="J77" s="1624">
        <f t="shared" si="8"/>
        <v>0</v>
      </c>
      <c r="K77" s="1624">
        <f t="shared" si="8"/>
        <v>0</v>
      </c>
      <c r="L77" s="325"/>
    </row>
    <row r="78" spans="1:12" ht="21.75" customHeight="1" thickTop="1" thickBot="1" x14ac:dyDescent="0.25">
      <c r="A78" s="2228" t="s">
        <v>593</v>
      </c>
      <c r="B78" s="2229"/>
      <c r="C78" s="1629">
        <f t="shared" ref="C78:K78" si="9">C20+C77</f>
        <v>-43434</v>
      </c>
      <c r="D78" s="1629">
        <f t="shared" si="9"/>
        <v>-97676</v>
      </c>
      <c r="E78" s="1629">
        <f t="shared" si="9"/>
        <v>467195</v>
      </c>
      <c r="F78" s="1629">
        <f t="shared" si="9"/>
        <v>4733</v>
      </c>
      <c r="G78" s="1629">
        <f t="shared" si="9"/>
        <v>10575</v>
      </c>
      <c r="H78" s="1629">
        <f t="shared" si="9"/>
        <v>-1546874</v>
      </c>
      <c r="I78" s="1629">
        <f t="shared" si="9"/>
        <v>7960</v>
      </c>
      <c r="J78" s="1629">
        <f t="shared" si="9"/>
        <v>-31302</v>
      </c>
      <c r="K78" s="1629">
        <f t="shared" si="9"/>
        <v>37314</v>
      </c>
      <c r="L78" s="457"/>
    </row>
    <row r="79" spans="1:12" ht="13.5" thickTop="1" x14ac:dyDescent="0.2">
      <c r="A79" s="1844" t="str">
        <f>"Fund Balances - July 1, "&amp;'AFR20'!E2-1</f>
        <v>Fund Balances - July 1, 2019</v>
      </c>
      <c r="B79" s="458"/>
      <c r="C79" s="1583">
        <v>2127278</v>
      </c>
      <c r="D79" s="1630">
        <v>731823</v>
      </c>
      <c r="E79" s="1630">
        <v>760356</v>
      </c>
      <c r="F79" s="1630">
        <v>117698</v>
      </c>
      <c r="G79" s="1630">
        <v>199788</v>
      </c>
      <c r="H79" s="1630">
        <v>2148094</v>
      </c>
      <c r="I79" s="1630">
        <v>97514</v>
      </c>
      <c r="J79" s="1630">
        <v>302186</v>
      </c>
      <c r="K79" s="1630"/>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2083844</v>
      </c>
      <c r="D81" s="1594">
        <f>SUM(D78:D80)</f>
        <v>634147</v>
      </c>
      <c r="E81" s="1594">
        <f t="shared" ref="E81:K81" si="10">SUM(E78:E80)</f>
        <v>1227551</v>
      </c>
      <c r="F81" s="1594">
        <f t="shared" si="10"/>
        <v>122431</v>
      </c>
      <c r="G81" s="1594">
        <f t="shared" si="10"/>
        <v>210363</v>
      </c>
      <c r="H81" s="1594">
        <f t="shared" si="10"/>
        <v>601220</v>
      </c>
      <c r="I81" s="1594">
        <f t="shared" si="10"/>
        <v>105474</v>
      </c>
      <c r="J81" s="1594">
        <f t="shared" si="10"/>
        <v>270884</v>
      </c>
      <c r="K81" s="1594">
        <f t="shared" si="10"/>
        <v>37314</v>
      </c>
      <c r="L81" s="325"/>
    </row>
    <row r="82" spans="1:12" ht="0.75" customHeight="1" thickTop="1" thickBot="1" x14ac:dyDescent="0.25">
      <c r="A82" s="459" t="s">
        <v>340</v>
      </c>
      <c r="B82" s="460"/>
      <c r="C82" s="461">
        <f>(C81-C79)</f>
        <v>-43434</v>
      </c>
      <c r="D82" s="461">
        <f t="shared" ref="D82:K82" si="11">(D81-D79)</f>
        <v>-97676</v>
      </c>
      <c r="E82" s="461">
        <f t="shared" si="11"/>
        <v>467195</v>
      </c>
      <c r="F82" s="461">
        <f t="shared" si="11"/>
        <v>4733</v>
      </c>
      <c r="G82" s="461">
        <f t="shared" si="11"/>
        <v>10575</v>
      </c>
      <c r="H82" s="461">
        <f t="shared" si="11"/>
        <v>-1546874</v>
      </c>
      <c r="I82" s="461">
        <f t="shared" si="11"/>
        <v>7960</v>
      </c>
      <c r="J82" s="461">
        <f t="shared" si="11"/>
        <v>-31302</v>
      </c>
      <c r="K82" s="461">
        <f t="shared" si="11"/>
        <v>37314</v>
      </c>
    </row>
    <row r="83" spans="1:12" ht="14.25" hidden="1" thickTop="1" thickBot="1" x14ac:dyDescent="0.25">
      <c r="A83" s="462" t="s">
        <v>341</v>
      </c>
      <c r="B83" s="428"/>
      <c r="C83" s="463">
        <f>C82/C81</f>
        <v>-2.0843210912141218E-2</v>
      </c>
      <c r="D83" s="463">
        <f t="shared" ref="D83:K83" si="12">D82/D81</f>
        <v>-0.15402737851003001</v>
      </c>
      <c r="E83" s="463">
        <f t="shared" si="12"/>
        <v>0.38059111189677658</v>
      </c>
      <c r="F83" s="463">
        <f t="shared" si="12"/>
        <v>3.8658509691172988E-2</v>
      </c>
      <c r="G83" s="463">
        <f t="shared" si="12"/>
        <v>5.0270247144222131E-2</v>
      </c>
      <c r="H83" s="463">
        <f t="shared" si="12"/>
        <v>-2.5728917867003758</v>
      </c>
      <c r="I83" s="463">
        <f t="shared" si="12"/>
        <v>7.5468835921648936E-2</v>
      </c>
      <c r="J83" s="463">
        <f t="shared" si="12"/>
        <v>-0.11555499771119741</v>
      </c>
      <c r="K83" s="463">
        <f t="shared" si="12"/>
        <v>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0" activePane="bottomLeft" state="frozen"/>
      <selection pane="bottomLeft" activeCell="D65" sqref="D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1475543</v>
      </c>
      <c r="D5" s="1586">
        <v>185370</v>
      </c>
      <c r="E5" s="1573">
        <v>144388</v>
      </c>
      <c r="F5" s="1631">
        <v>88977</v>
      </c>
      <c r="G5" s="1573">
        <v>40084</v>
      </c>
      <c r="H5" s="1573"/>
      <c r="I5" s="1573">
        <v>37073</v>
      </c>
      <c r="J5" s="1574">
        <v>221435</v>
      </c>
      <c r="K5" s="1573">
        <v>37073</v>
      </c>
    </row>
    <row r="6" spans="1:12" ht="15" x14ac:dyDescent="0.2">
      <c r="A6" s="427" t="s">
        <v>1643</v>
      </c>
      <c r="B6" s="429">
        <v>1130</v>
      </c>
      <c r="C6" s="1573">
        <v>37073</v>
      </c>
      <c r="D6" s="1573"/>
      <c r="E6" s="1580"/>
      <c r="F6" s="1580"/>
      <c r="G6" s="1575"/>
      <c r="H6" s="1575"/>
      <c r="I6" s="1575"/>
      <c r="J6" s="1575"/>
      <c r="K6" s="1575"/>
    </row>
    <row r="7" spans="1:12" x14ac:dyDescent="0.2">
      <c r="A7" s="427" t="s">
        <v>110</v>
      </c>
      <c r="B7" s="471">
        <v>1140</v>
      </c>
      <c r="C7" s="1573">
        <v>14829</v>
      </c>
      <c r="D7" s="1573"/>
      <c r="E7" s="1575"/>
      <c r="F7" s="1574"/>
      <c r="G7" s="1574"/>
      <c r="H7" s="1574"/>
      <c r="I7" s="1575"/>
      <c r="J7" s="1575"/>
      <c r="K7" s="1575"/>
    </row>
    <row r="8" spans="1:12" x14ac:dyDescent="0.2">
      <c r="A8" s="427" t="s">
        <v>410</v>
      </c>
      <c r="B8" s="429">
        <v>1150</v>
      </c>
      <c r="C8" s="1580"/>
      <c r="D8" s="1580"/>
      <c r="E8" s="1582"/>
      <c r="F8" s="1582"/>
      <c r="G8" s="1586">
        <v>40084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1527445</v>
      </c>
      <c r="D12" s="1633">
        <f t="shared" si="0"/>
        <v>185370</v>
      </c>
      <c r="E12" s="1633">
        <f t="shared" si="0"/>
        <v>144388</v>
      </c>
      <c r="F12" s="1633">
        <f t="shared" si="0"/>
        <v>88977</v>
      </c>
      <c r="G12" s="1633">
        <f t="shared" si="0"/>
        <v>80168</v>
      </c>
      <c r="H12" s="1633">
        <f t="shared" si="0"/>
        <v>0</v>
      </c>
      <c r="I12" s="1633">
        <f t="shared" si="0"/>
        <v>37073</v>
      </c>
      <c r="J12" s="1633">
        <f t="shared" si="0"/>
        <v>221435</v>
      </c>
      <c r="K12" s="1594">
        <f t="shared" si="0"/>
        <v>37073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110881</v>
      </c>
      <c r="D16" s="1573"/>
      <c r="E16" s="1573"/>
      <c r="F16" s="1573"/>
      <c r="G16" s="1573">
        <v>2026</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110881</v>
      </c>
      <c r="D18" s="1635">
        <f t="shared" ref="D18:K18" si="1">SUM(D14:D17)</f>
        <v>0</v>
      </c>
      <c r="E18" s="1635">
        <f t="shared" si="1"/>
        <v>0</v>
      </c>
      <c r="F18" s="1635">
        <f t="shared" si="1"/>
        <v>0</v>
      </c>
      <c r="G18" s="1635">
        <f t="shared" si="1"/>
        <v>2026</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18340</v>
      </c>
      <c r="D65" s="1573">
        <v>5101</v>
      </c>
      <c r="E65" s="1573">
        <v>8665</v>
      </c>
      <c r="F65" s="1574">
        <v>1140</v>
      </c>
      <c r="G65" s="1573">
        <v>1620</v>
      </c>
      <c r="H65" s="1573">
        <v>5144</v>
      </c>
      <c r="I65" s="1573">
        <v>887</v>
      </c>
      <c r="J65" s="1574">
        <v>2776</v>
      </c>
      <c r="K65" s="1573">
        <v>241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18340</v>
      </c>
      <c r="D67" s="1594">
        <f t="shared" ref="D67:K67" si="2">SUM(D65:D66)</f>
        <v>5101</v>
      </c>
      <c r="E67" s="1594">
        <f t="shared" si="2"/>
        <v>8665</v>
      </c>
      <c r="F67" s="1594">
        <f t="shared" si="2"/>
        <v>1140</v>
      </c>
      <c r="G67" s="1594">
        <f t="shared" si="2"/>
        <v>1620</v>
      </c>
      <c r="H67" s="1594">
        <f t="shared" si="2"/>
        <v>5144</v>
      </c>
      <c r="I67" s="1594">
        <f t="shared" si="2"/>
        <v>887</v>
      </c>
      <c r="J67" s="1594">
        <f t="shared" si="2"/>
        <v>2776</v>
      </c>
      <c r="K67" s="1594">
        <f t="shared" si="2"/>
        <v>241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5429</v>
      </c>
      <c r="D72" s="1575"/>
      <c r="E72" s="1575"/>
      <c r="F72" s="1575"/>
      <c r="G72" s="1575"/>
      <c r="H72" s="1575"/>
      <c r="I72" s="1575"/>
      <c r="J72" s="1575"/>
      <c r="K72" s="1575"/>
    </row>
    <row r="73" spans="1:11" ht="12.75" customHeight="1" x14ac:dyDescent="0.2">
      <c r="A73" s="427" t="s">
        <v>991</v>
      </c>
      <c r="B73" s="429">
        <v>1620</v>
      </c>
      <c r="C73" s="1632">
        <v>8</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5437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7604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f>3550+850+430+3520+1350</f>
        <v>9700</v>
      </c>
      <c r="D79" s="1573"/>
      <c r="E79" s="1575"/>
      <c r="F79" s="1575"/>
      <c r="G79" s="1575"/>
      <c r="H79" s="1575"/>
      <c r="I79" s="1575"/>
      <c r="J79" s="1575"/>
      <c r="K79" s="1575"/>
    </row>
    <row r="80" spans="1:11" ht="12.75" customHeight="1" x14ac:dyDescent="0.2">
      <c r="A80" s="427" t="s">
        <v>547</v>
      </c>
      <c r="B80" s="429">
        <v>1730</v>
      </c>
      <c r="C80" s="1632">
        <v>2637</v>
      </c>
      <c r="D80" s="1573"/>
      <c r="E80" s="1575"/>
      <c r="F80" s="1575"/>
      <c r="G80" s="1575"/>
      <c r="H80" s="1575"/>
      <c r="I80" s="1575"/>
      <c r="J80" s="1575"/>
      <c r="K80" s="1575"/>
    </row>
    <row r="81" spans="1:11" ht="12.75" customHeight="1" x14ac:dyDescent="0.2">
      <c r="A81" s="427" t="s">
        <v>26</v>
      </c>
      <c r="B81" s="429">
        <v>1790</v>
      </c>
      <c r="C81" s="1632">
        <v>2434</v>
      </c>
      <c r="D81" s="1573"/>
      <c r="E81" s="1575"/>
      <c r="F81" s="1575"/>
      <c r="G81" s="1575"/>
      <c r="H81" s="1575"/>
      <c r="I81" s="1575"/>
      <c r="J81" s="1575"/>
      <c r="K81" s="1575"/>
    </row>
    <row r="82" spans="1:11" ht="12.75" customHeight="1" thickBot="1" x14ac:dyDescent="0.25">
      <c r="A82" s="1406" t="s">
        <v>239</v>
      </c>
      <c r="B82" s="1407"/>
      <c r="C82" s="1633">
        <f>SUM(C77:C81)</f>
        <v>22375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15598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15598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150</v>
      </c>
      <c r="E95" s="1617"/>
      <c r="F95" s="1617"/>
      <c r="G95" s="1617"/>
      <c r="H95" s="1617"/>
      <c r="I95" s="1617"/>
      <c r="J95" s="1617"/>
      <c r="K95" s="1617"/>
    </row>
    <row r="96" spans="1:11" ht="12.75" customHeight="1" x14ac:dyDescent="0.2">
      <c r="A96" s="427" t="s">
        <v>388</v>
      </c>
      <c r="B96" s="429">
        <v>1920</v>
      </c>
      <c r="C96" s="1632">
        <f>1042+2785+1220+3456</f>
        <v>8503</v>
      </c>
      <c r="D96" s="1632"/>
      <c r="E96" s="1584"/>
      <c r="F96" s="1583"/>
      <c r="G96" s="1583"/>
      <c r="H96" s="1583">
        <v>16000</v>
      </c>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2538</v>
      </c>
      <c r="D99" s="1573"/>
      <c r="E99" s="1573"/>
      <c r="F99" s="1573"/>
      <c r="G99" s="1573"/>
      <c r="H99" s="1573"/>
      <c r="I99" s="1575"/>
      <c r="J99" s="1574">
        <v>178</v>
      </c>
      <c r="K99" s="1573"/>
    </row>
    <row r="100" spans="1:12" ht="12.75" customHeight="1" x14ac:dyDescent="0.2">
      <c r="A100" s="427" t="s">
        <v>243</v>
      </c>
      <c r="B100" s="429">
        <v>1960</v>
      </c>
      <c r="C100" s="1598">
        <v>102227</v>
      </c>
      <c r="D100" s="1598"/>
      <c r="E100" s="1598">
        <v>806692</v>
      </c>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v>480</v>
      </c>
      <c r="E107" s="1573"/>
      <c r="F107" s="1573">
        <v>779</v>
      </c>
      <c r="G107" s="1573">
        <v>61</v>
      </c>
      <c r="H107" s="1573">
        <v>3250</v>
      </c>
      <c r="I107" s="1573"/>
      <c r="J107" s="1574"/>
      <c r="K107" s="1573"/>
    </row>
    <row r="108" spans="1:12" ht="12.75" customHeight="1" thickBot="1" x14ac:dyDescent="0.25">
      <c r="A108" s="1406" t="s">
        <v>484</v>
      </c>
      <c r="B108" s="1408"/>
      <c r="C108" s="1633">
        <f>SUM(C95:C107)</f>
        <v>113268</v>
      </c>
      <c r="D108" s="1633">
        <f t="shared" ref="D108:K108" si="3">SUM(D95:D107)</f>
        <v>630</v>
      </c>
      <c r="E108" s="1633">
        <f t="shared" si="3"/>
        <v>806692</v>
      </c>
      <c r="F108" s="1633">
        <f t="shared" si="3"/>
        <v>779</v>
      </c>
      <c r="G108" s="1633">
        <f t="shared" si="3"/>
        <v>61</v>
      </c>
      <c r="H108" s="1633">
        <f t="shared" si="3"/>
        <v>19250</v>
      </c>
      <c r="I108" s="1633">
        <f t="shared" si="3"/>
        <v>0</v>
      </c>
      <c r="J108" s="1633">
        <f t="shared" si="3"/>
        <v>178</v>
      </c>
      <c r="K108" s="1594">
        <f t="shared" si="3"/>
        <v>0</v>
      </c>
    </row>
    <row r="109" spans="1:12" ht="14.25" thickTop="1" thickBot="1" x14ac:dyDescent="0.25">
      <c r="A109" s="1409" t="s">
        <v>246</v>
      </c>
      <c r="B109" s="1410" t="s">
        <v>566</v>
      </c>
      <c r="C109" s="1641">
        <f t="shared" ref="C109:K109" si="4">SUM(C12,C18,C40,C63,C67,C75,C82,C93,C108,)</f>
        <v>1813344</v>
      </c>
      <c r="D109" s="1641">
        <f t="shared" si="4"/>
        <v>191101</v>
      </c>
      <c r="E109" s="1641">
        <f t="shared" si="4"/>
        <v>959745</v>
      </c>
      <c r="F109" s="1641">
        <f t="shared" si="4"/>
        <v>90896</v>
      </c>
      <c r="G109" s="1641">
        <f t="shared" si="4"/>
        <v>83875</v>
      </c>
      <c r="H109" s="1641">
        <f t="shared" si="4"/>
        <v>24394</v>
      </c>
      <c r="I109" s="1641">
        <f t="shared" si="4"/>
        <v>37960</v>
      </c>
      <c r="J109" s="1641">
        <f t="shared" si="4"/>
        <v>224389</v>
      </c>
      <c r="K109" s="1629">
        <f t="shared" si="4"/>
        <v>37314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165769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165769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12501</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12501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92964</v>
      </c>
      <c r="G152" s="1574"/>
      <c r="H152" s="1575"/>
      <c r="I152" s="1575"/>
      <c r="J152" s="1575"/>
      <c r="K152" s="1575"/>
    </row>
    <row r="153" spans="1:11" ht="12.75" customHeight="1" x14ac:dyDescent="0.2">
      <c r="A153" s="427" t="s">
        <v>1048</v>
      </c>
      <c r="B153" s="478">
        <v>3510</v>
      </c>
      <c r="C153" s="1632"/>
      <c r="D153" s="1573"/>
      <c r="E153" s="1640"/>
      <c r="F153" s="1573">
        <v>25427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118391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12553</v>
      </c>
      <c r="D169" s="1658">
        <f t="shared" si="6"/>
        <v>0</v>
      </c>
      <c r="E169" s="1658">
        <f t="shared" si="6"/>
        <v>0</v>
      </c>
      <c r="F169" s="1658">
        <f t="shared" si="6"/>
        <v>118391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178322</v>
      </c>
      <c r="D170" s="1641">
        <f t="shared" si="7"/>
        <v>0</v>
      </c>
      <c r="E170" s="1641">
        <f t="shared" si="7"/>
        <v>0</v>
      </c>
      <c r="F170" s="1641">
        <f t="shared" si="7"/>
        <v>118391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v>4644</v>
      </c>
      <c r="E180" s="1575"/>
      <c r="F180" s="1573"/>
      <c r="G180" s="1573"/>
      <c r="H180" s="1573"/>
      <c r="I180" s="1575"/>
      <c r="J180" s="1575"/>
      <c r="K180" s="1573"/>
    </row>
    <row r="181" spans="1:11" ht="13.5" thickBot="1" x14ac:dyDescent="0.25">
      <c r="A181" s="2258" t="s">
        <v>780</v>
      </c>
      <c r="B181" s="2259"/>
      <c r="C181" s="1633">
        <f>SUM(C177:C180)</f>
        <v>0</v>
      </c>
      <c r="D181" s="1633">
        <f>SUM(D177:D180)</f>
        <v>4644</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20510</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20510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v>1676</v>
      </c>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2126</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3802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28329</v>
      </c>
      <c r="D200" s="1573"/>
      <c r="E200" s="1575"/>
      <c r="F200" s="1573"/>
      <c r="G200" s="1573">
        <v>4410</v>
      </c>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28329</v>
      </c>
      <c r="D204" s="1633">
        <f>SUM(D200:D203)</f>
        <v>0</v>
      </c>
      <c r="E204" s="1575"/>
      <c r="F204" s="1633">
        <f>SUM(F200:F203)</f>
        <v>0</v>
      </c>
      <c r="G204" s="1633">
        <f>SUM(G200:G203)</f>
        <v>4410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2387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69075</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71462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4747</v>
      </c>
      <c r="D259" s="1651"/>
      <c r="E259" s="1575"/>
      <c r="F259" s="1651"/>
      <c r="G259" s="1651">
        <v>767</v>
      </c>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1376</v>
      </c>
      <c r="D263" s="1651"/>
      <c r="E263" s="1575"/>
      <c r="F263" s="1651"/>
      <c r="G263" s="1651"/>
      <c r="H263" s="1575"/>
      <c r="I263" s="1575"/>
      <c r="J263" s="1575"/>
      <c r="K263" s="1575"/>
    </row>
    <row r="264" spans="1:11" ht="12.75" customHeight="1" thickTop="1" thickBot="1" x14ac:dyDescent="0.25">
      <c r="A264" s="427" t="s">
        <v>374</v>
      </c>
      <c r="B264" s="429">
        <v>4992</v>
      </c>
      <c r="C264" s="1650">
        <v>5983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136209</v>
      </c>
      <c r="D266" s="1641">
        <f t="shared" si="10"/>
        <v>0</v>
      </c>
      <c r="E266" s="1641">
        <f t="shared" si="10"/>
        <v>0</v>
      </c>
      <c r="F266" s="1641">
        <f t="shared" si="10"/>
        <v>0</v>
      </c>
      <c r="G266" s="1641">
        <f t="shared" si="10"/>
        <v>5177</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136209</v>
      </c>
      <c r="D267" s="1641">
        <f>SUM(D175,D181,D266)</f>
        <v>4644</v>
      </c>
      <c r="E267" s="1641">
        <f>SUM(E175,E266)</f>
        <v>0</v>
      </c>
      <c r="F267" s="1641">
        <f t="shared" ref="F267:K267" si="11">SUM(F175,F181,F266)</f>
        <v>0</v>
      </c>
      <c r="G267" s="1641">
        <f t="shared" si="11"/>
        <v>5177</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2127875</v>
      </c>
      <c r="D268" s="1641">
        <f t="shared" si="12"/>
        <v>195745</v>
      </c>
      <c r="E268" s="1641">
        <f t="shared" si="12"/>
        <v>959745</v>
      </c>
      <c r="F268" s="1641">
        <f t="shared" si="12"/>
        <v>209287</v>
      </c>
      <c r="G268" s="1641">
        <f t="shared" si="12"/>
        <v>89052</v>
      </c>
      <c r="H268" s="1641">
        <f t="shared" si="12"/>
        <v>24394</v>
      </c>
      <c r="I268" s="1641">
        <f t="shared" si="12"/>
        <v>37960</v>
      </c>
      <c r="J268" s="1641">
        <f t="shared" si="12"/>
        <v>224389</v>
      </c>
      <c r="K268" s="1629">
        <f t="shared" si="12"/>
        <v>37314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1" activePane="bottomLeft" state="frozen"/>
      <selection pane="bottomLeft" activeCell="B124" sqref="B1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813809</v>
      </c>
      <c r="D5" s="1573">
        <v>254198</v>
      </c>
      <c r="E5" s="1573">
        <v>12043</v>
      </c>
      <c r="F5" s="1573">
        <v>112417</v>
      </c>
      <c r="G5" s="1573"/>
      <c r="H5" s="1573">
        <v>233</v>
      </c>
      <c r="I5" s="1574"/>
      <c r="J5" s="1574"/>
      <c r="K5" s="1672">
        <f>SUM(C5:J5)</f>
        <v>1192700</v>
      </c>
      <c r="L5" s="1573">
        <v>1252362</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54311</v>
      </c>
      <c r="D8" s="1573">
        <v>15055</v>
      </c>
      <c r="E8" s="1573">
        <v>1706</v>
      </c>
      <c r="F8" s="1573">
        <v>41456</v>
      </c>
      <c r="G8" s="1573"/>
      <c r="H8" s="1573"/>
      <c r="I8" s="1574"/>
      <c r="J8" s="1574"/>
      <c r="K8" s="1672">
        <f t="shared" si="0"/>
        <v>112528</v>
      </c>
      <c r="L8" s="1573">
        <v>131724</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25721</v>
      </c>
      <c r="D10" s="1573"/>
      <c r="E10" s="1573"/>
      <c r="F10" s="1573">
        <v>5209</v>
      </c>
      <c r="G10" s="1573"/>
      <c r="H10" s="1573"/>
      <c r="I10" s="1574"/>
      <c r="J10" s="1574"/>
      <c r="K10" s="1672">
        <f t="shared" si="0"/>
        <v>30930</v>
      </c>
      <c r="L10" s="1573">
        <v>32037</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19177</v>
      </c>
      <c r="D14" s="1573">
        <v>3699</v>
      </c>
      <c r="E14" s="1573">
        <v>9495</v>
      </c>
      <c r="F14" s="1573">
        <v>8987</v>
      </c>
      <c r="G14" s="1573"/>
      <c r="H14" s="1573">
        <v>200</v>
      </c>
      <c r="I14" s="1574"/>
      <c r="J14" s="1574"/>
      <c r="K14" s="1672">
        <f t="shared" si="0"/>
        <v>41558</v>
      </c>
      <c r="L14" s="1573">
        <v>57785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36668</v>
      </c>
      <c r="I22" s="1673"/>
      <c r="J22" s="1582"/>
      <c r="K22" s="1672">
        <f t="shared" si="0"/>
        <v>36668</v>
      </c>
      <c r="L22" s="1577">
        <v>37361</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913018</v>
      </c>
      <c r="D33" s="1674">
        <f t="shared" ref="D33:L33" si="1">SUM(D5:D32)</f>
        <v>272952</v>
      </c>
      <c r="E33" s="1674">
        <f t="shared" si="1"/>
        <v>23244</v>
      </c>
      <c r="F33" s="1674">
        <f t="shared" si="1"/>
        <v>168069</v>
      </c>
      <c r="G33" s="1674">
        <f t="shared" si="1"/>
        <v>0</v>
      </c>
      <c r="H33" s="1674">
        <f t="shared" si="1"/>
        <v>37101</v>
      </c>
      <c r="I33" s="1674">
        <f t="shared" si="1"/>
        <v>0</v>
      </c>
      <c r="J33" s="1674">
        <f t="shared" si="1"/>
        <v>0</v>
      </c>
      <c r="K33" s="1674">
        <f t="shared" si="1"/>
        <v>1414384</v>
      </c>
      <c r="L33" s="1674">
        <f t="shared" si="1"/>
        <v>1511269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f>11195+539</f>
        <v>11734</v>
      </c>
      <c r="F38" s="1573">
        <v>61</v>
      </c>
      <c r="G38" s="1573"/>
      <c r="H38" s="1573"/>
      <c r="I38" s="1574"/>
      <c r="J38" s="1574"/>
      <c r="K38" s="1672">
        <f t="shared" si="2"/>
        <v>11795</v>
      </c>
      <c r="L38" s="1573">
        <v>10081</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11734</v>
      </c>
      <c r="F42" s="1674">
        <f t="shared" si="3"/>
        <v>61</v>
      </c>
      <c r="G42" s="1674">
        <f t="shared" si="3"/>
        <v>0</v>
      </c>
      <c r="H42" s="1674">
        <f t="shared" si="3"/>
        <v>0</v>
      </c>
      <c r="I42" s="1674">
        <f t="shared" si="3"/>
        <v>0</v>
      </c>
      <c r="J42" s="1674">
        <f t="shared" si="3"/>
        <v>0</v>
      </c>
      <c r="K42" s="1674">
        <f t="shared" si="3"/>
        <v>11795</v>
      </c>
      <c r="L42" s="1674">
        <f t="shared" si="3"/>
        <v>10081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54880</v>
      </c>
      <c r="D44" s="1586">
        <v>17659</v>
      </c>
      <c r="E44" s="1586">
        <v>2468</v>
      </c>
      <c r="F44" s="1586">
        <f>50+627</f>
        <v>677</v>
      </c>
      <c r="G44" s="1586"/>
      <c r="H44" s="1586">
        <v>59</v>
      </c>
      <c r="I44" s="1574"/>
      <c r="J44" s="1574"/>
      <c r="K44" s="1678">
        <f>SUM(C44:J44)</f>
        <v>75743</v>
      </c>
      <c r="L44" s="1586">
        <v>78042</v>
      </c>
    </row>
    <row r="45" spans="1:14" x14ac:dyDescent="0.2">
      <c r="A45" s="1274" t="s">
        <v>810</v>
      </c>
      <c r="B45" s="503">
        <v>2220</v>
      </c>
      <c r="C45" s="1573">
        <v>50153</v>
      </c>
      <c r="D45" s="1573">
        <v>12916</v>
      </c>
      <c r="E45" s="1573"/>
      <c r="F45" s="1573">
        <v>1413</v>
      </c>
      <c r="G45" s="1573"/>
      <c r="H45" s="1573"/>
      <c r="I45" s="1574"/>
      <c r="J45" s="1574"/>
      <c r="K45" s="1678">
        <f>SUM(C45:J45)</f>
        <v>64482</v>
      </c>
      <c r="L45" s="1573">
        <v>68342</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105033</v>
      </c>
      <c r="D47" s="1674">
        <f t="shared" ref="D47:K47" si="4">SUM(D44:D46)</f>
        <v>30575</v>
      </c>
      <c r="E47" s="1674">
        <f t="shared" si="4"/>
        <v>2468</v>
      </c>
      <c r="F47" s="1674">
        <f t="shared" si="4"/>
        <v>2090</v>
      </c>
      <c r="G47" s="1674">
        <f t="shared" si="4"/>
        <v>0</v>
      </c>
      <c r="H47" s="1674">
        <f t="shared" si="4"/>
        <v>59</v>
      </c>
      <c r="I47" s="1674">
        <f t="shared" si="4"/>
        <v>0</v>
      </c>
      <c r="J47" s="1674">
        <f t="shared" si="4"/>
        <v>0</v>
      </c>
      <c r="K47" s="1674">
        <f t="shared" si="4"/>
        <v>140225</v>
      </c>
      <c r="L47" s="1674">
        <f>SUM(L44:L46)</f>
        <v>146384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f>4436+2255+1</f>
        <v>6692</v>
      </c>
      <c r="D49" s="1586">
        <v>209</v>
      </c>
      <c r="E49" s="1586">
        <f>10609+6731+13793+9035</f>
        <v>40168</v>
      </c>
      <c r="F49" s="1586">
        <v>1213</v>
      </c>
      <c r="G49" s="1586"/>
      <c r="H49" s="1586">
        <v>1582</v>
      </c>
      <c r="I49" s="1574"/>
      <c r="J49" s="1574"/>
      <c r="K49" s="1678">
        <f>SUM(C49:J49)</f>
        <v>49864</v>
      </c>
      <c r="L49" s="1586">
        <v>51735</v>
      </c>
    </row>
    <row r="50" spans="1:14" x14ac:dyDescent="0.2">
      <c r="A50" s="1274" t="s">
        <v>813</v>
      </c>
      <c r="B50" s="503">
        <v>2320</v>
      </c>
      <c r="C50" s="1573">
        <v>96208</v>
      </c>
      <c r="D50" s="1573">
        <v>50375</v>
      </c>
      <c r="E50" s="1573">
        <v>2637</v>
      </c>
      <c r="F50" s="1573">
        <v>24</v>
      </c>
      <c r="G50" s="1573"/>
      <c r="H50" s="1573">
        <v>1514</v>
      </c>
      <c r="I50" s="1574"/>
      <c r="J50" s="1574"/>
      <c r="K50" s="1678">
        <f>SUM(C50:J50)</f>
        <v>150758</v>
      </c>
      <c r="L50" s="1573">
        <v>166137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102900</v>
      </c>
      <c r="D53" s="1674">
        <f t="shared" ref="D53:L53" si="5">SUM(D49:D52)</f>
        <v>50584</v>
      </c>
      <c r="E53" s="1674">
        <f t="shared" si="5"/>
        <v>42805</v>
      </c>
      <c r="F53" s="1674">
        <f t="shared" si="5"/>
        <v>1237</v>
      </c>
      <c r="G53" s="1674">
        <f t="shared" si="5"/>
        <v>0</v>
      </c>
      <c r="H53" s="1674">
        <f t="shared" si="5"/>
        <v>3096</v>
      </c>
      <c r="I53" s="1674">
        <f t="shared" si="5"/>
        <v>0</v>
      </c>
      <c r="J53" s="1674">
        <f t="shared" si="5"/>
        <v>0</v>
      </c>
      <c r="K53" s="1674">
        <f t="shared" si="5"/>
        <v>200622</v>
      </c>
      <c r="L53" s="1674">
        <f t="shared" si="5"/>
        <v>217872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133925</v>
      </c>
      <c r="D55" s="1586">
        <v>39552</v>
      </c>
      <c r="E55" s="1586">
        <v>338</v>
      </c>
      <c r="F55" s="1586">
        <v>1059</v>
      </c>
      <c r="G55" s="1586"/>
      <c r="H55" s="1586">
        <v>325</v>
      </c>
      <c r="I55" s="1574"/>
      <c r="J55" s="1574"/>
      <c r="K55" s="1678">
        <f>SUM(C55:J55)</f>
        <v>175199</v>
      </c>
      <c r="L55" s="1586">
        <v>176575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133925</v>
      </c>
      <c r="D57" s="1679">
        <f t="shared" ref="D57:K57" si="6">SUM(D55:D56)</f>
        <v>39552</v>
      </c>
      <c r="E57" s="1679">
        <f t="shared" si="6"/>
        <v>338</v>
      </c>
      <c r="F57" s="1679">
        <f t="shared" si="6"/>
        <v>1059</v>
      </c>
      <c r="G57" s="1679">
        <f t="shared" si="6"/>
        <v>0</v>
      </c>
      <c r="H57" s="1679">
        <f t="shared" si="6"/>
        <v>325</v>
      </c>
      <c r="I57" s="1679">
        <f t="shared" si="6"/>
        <v>0</v>
      </c>
      <c r="J57" s="1679">
        <f t="shared" si="6"/>
        <v>0</v>
      </c>
      <c r="K57" s="1679">
        <f t="shared" si="6"/>
        <v>175199</v>
      </c>
      <c r="L57" s="1674">
        <f>SUM(L55:L56)</f>
        <v>176575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56571</v>
      </c>
      <c r="D60" s="1573">
        <v>12893</v>
      </c>
      <c r="E60" s="1573">
        <v>188</v>
      </c>
      <c r="F60" s="1573">
        <v>1270</v>
      </c>
      <c r="G60" s="1573"/>
      <c r="H60" s="1573"/>
      <c r="I60" s="1574"/>
      <c r="J60" s="1574"/>
      <c r="K60" s="1678">
        <f t="shared" si="7"/>
        <v>70922</v>
      </c>
      <c r="L60" s="1573">
        <v>105217</v>
      </c>
      <c r="M60" s="501"/>
      <c r="N60" s="501"/>
    </row>
    <row r="61" spans="1:14" s="321" customFormat="1" x14ac:dyDescent="0.2">
      <c r="A61" s="1274" t="s">
        <v>195</v>
      </c>
      <c r="B61" s="503">
        <v>2540</v>
      </c>
      <c r="C61" s="1573"/>
      <c r="D61" s="1573"/>
      <c r="E61" s="1573">
        <v>11171</v>
      </c>
      <c r="F61" s="1573"/>
      <c r="G61" s="1573"/>
      <c r="H61" s="1573"/>
      <c r="I61" s="1574"/>
      <c r="J61" s="1574"/>
      <c r="K61" s="1678">
        <f t="shared" si="7"/>
        <v>11171</v>
      </c>
      <c r="L61" s="1573">
        <v>13215</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7227</v>
      </c>
      <c r="D63" s="1573"/>
      <c r="E63" s="1573"/>
      <c r="F63" s="1573">
        <v>8846</v>
      </c>
      <c r="G63" s="1573"/>
      <c r="H63" s="1573"/>
      <c r="I63" s="1574"/>
      <c r="J63" s="1574"/>
      <c r="K63" s="1678">
        <f t="shared" si="7"/>
        <v>16073</v>
      </c>
      <c r="L63" s="1573">
        <v>15459</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63798</v>
      </c>
      <c r="D65" s="1674">
        <f t="shared" ref="D65:L65" si="8">SUM(D59:D64)</f>
        <v>12893</v>
      </c>
      <c r="E65" s="1674">
        <f t="shared" si="8"/>
        <v>11359</v>
      </c>
      <c r="F65" s="1674">
        <f t="shared" si="8"/>
        <v>10116</v>
      </c>
      <c r="G65" s="1674">
        <f t="shared" si="8"/>
        <v>0</v>
      </c>
      <c r="H65" s="1674">
        <f t="shared" si="8"/>
        <v>0</v>
      </c>
      <c r="I65" s="1674">
        <f t="shared" si="8"/>
        <v>0</v>
      </c>
      <c r="J65" s="1674">
        <f t="shared" si="8"/>
        <v>0</v>
      </c>
      <c r="K65" s="1674">
        <f t="shared" si="8"/>
        <v>98166</v>
      </c>
      <c r="L65" s="1674">
        <f t="shared" si="8"/>
        <v>133891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v>404</v>
      </c>
      <c r="F70" s="1573"/>
      <c r="G70" s="1573"/>
      <c r="H70" s="1573"/>
      <c r="I70" s="1574"/>
      <c r="J70" s="1574"/>
      <c r="K70" s="1678">
        <f>SUM(C70:J70)</f>
        <v>404</v>
      </c>
      <c r="L70" s="1573">
        <v>240</v>
      </c>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404</v>
      </c>
      <c r="F72" s="1674">
        <f t="shared" si="9"/>
        <v>0</v>
      </c>
      <c r="G72" s="1674">
        <f t="shared" si="9"/>
        <v>0</v>
      </c>
      <c r="H72" s="1674">
        <f t="shared" si="9"/>
        <v>0</v>
      </c>
      <c r="I72" s="1674">
        <f t="shared" si="9"/>
        <v>0</v>
      </c>
      <c r="J72" s="1674">
        <f t="shared" si="9"/>
        <v>0</v>
      </c>
      <c r="K72" s="1674">
        <f t="shared" si="9"/>
        <v>404</v>
      </c>
      <c r="L72" s="1674">
        <f>SUM(L67:L71)</f>
        <v>240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405656</v>
      </c>
      <c r="D74" s="1681">
        <f t="shared" ref="D74:K74" si="10">SUM(D42,D47,D53,D57,D65,D72,D73)</f>
        <v>133604</v>
      </c>
      <c r="E74" s="1681">
        <f t="shared" si="10"/>
        <v>69108</v>
      </c>
      <c r="F74" s="1681">
        <f t="shared" si="10"/>
        <v>14563</v>
      </c>
      <c r="G74" s="1681">
        <f t="shared" si="10"/>
        <v>0</v>
      </c>
      <c r="H74" s="1681">
        <f t="shared" si="10"/>
        <v>3480</v>
      </c>
      <c r="I74" s="1681">
        <f t="shared" si="10"/>
        <v>0</v>
      </c>
      <c r="J74" s="1681">
        <f t="shared" si="10"/>
        <v>0</v>
      </c>
      <c r="K74" s="1681">
        <f t="shared" si="10"/>
        <v>626411</v>
      </c>
      <c r="L74" s="1681">
        <f>SUM(L42,L47,L53,L57,L65,L72,L73)</f>
        <v>685043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106662</v>
      </c>
      <c r="F79" s="1673"/>
      <c r="G79" s="1673"/>
      <c r="H79" s="1573">
        <v>24025</v>
      </c>
      <c r="I79" s="1582"/>
      <c r="J79" s="1582"/>
      <c r="K79" s="1672">
        <f t="shared" si="11"/>
        <v>130687</v>
      </c>
      <c r="L79" s="1573">
        <v>127705</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106662</v>
      </c>
      <c r="F84" s="1673"/>
      <c r="G84" s="1673"/>
      <c r="H84" s="1674">
        <f>SUM(H78:H83)</f>
        <v>24025</v>
      </c>
      <c r="I84" s="1582"/>
      <c r="J84" s="1582"/>
      <c r="K84" s="1674">
        <f>SUM(K78:K83)</f>
        <v>130687</v>
      </c>
      <c r="L84" s="1674">
        <f>SUM(L78:L83)</f>
        <v>127705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29827</v>
      </c>
      <c r="I86" s="1582"/>
      <c r="J86" s="1582"/>
      <c r="K86" s="1681">
        <f t="shared" ref="K86:K98" si="12">H86</f>
        <v>29827</v>
      </c>
      <c r="L86" s="1626">
        <v>19700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29827</v>
      </c>
      <c r="I92" s="1582"/>
      <c r="J92" s="1582"/>
      <c r="K92" s="1681">
        <f t="shared" si="12"/>
        <v>29827</v>
      </c>
      <c r="L92" s="1674">
        <f>SUM(L85:L91)</f>
        <v>19700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106662</v>
      </c>
      <c r="F102" s="1673"/>
      <c r="G102" s="1673"/>
      <c r="H102" s="1681">
        <f>SUM(H84,H92,H100,H101)</f>
        <v>53852</v>
      </c>
      <c r="I102" s="1582"/>
      <c r="J102" s="1582"/>
      <c r="K102" s="1681">
        <f>SUM(K84,K92,K100,K101)</f>
        <v>160514</v>
      </c>
      <c r="L102" s="1681">
        <f>SUM(L84,L92,L100,L101)</f>
        <v>147405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3000</v>
      </c>
      <c r="M113" s="502"/>
      <c r="N113" s="502"/>
    </row>
    <row r="114" spans="1:14" ht="12.75" customHeight="1" thickTop="1" thickBot="1" x14ac:dyDescent="0.25">
      <c r="A114" s="1380" t="s">
        <v>48</v>
      </c>
      <c r="B114" s="1388"/>
      <c r="C114" s="1674">
        <f>SUM(C33,C74,C75,C102,C112,C113)</f>
        <v>1318674</v>
      </c>
      <c r="D114" s="1674">
        <f t="shared" ref="D114:K114" si="13">SUM(D33,D74,D75,D102,D112,D113)</f>
        <v>406556</v>
      </c>
      <c r="E114" s="1674">
        <f t="shared" si="13"/>
        <v>199014</v>
      </c>
      <c r="F114" s="1674">
        <f t="shared" si="13"/>
        <v>182632</v>
      </c>
      <c r="G114" s="1674">
        <f t="shared" si="13"/>
        <v>0</v>
      </c>
      <c r="H114" s="1674">
        <f>SUM(H33,H74,H75,H102,H112,H113)</f>
        <v>94433</v>
      </c>
      <c r="I114" s="1674">
        <f t="shared" si="13"/>
        <v>0</v>
      </c>
      <c r="J114" s="1674">
        <f t="shared" si="13"/>
        <v>0</v>
      </c>
      <c r="K114" s="1674">
        <f t="shared" si="13"/>
        <v>2201309</v>
      </c>
      <c r="L114" s="1674">
        <f>SUM(L33,L74,L75,L102,L112,L113)</f>
        <v>2346717</v>
      </c>
    </row>
    <row r="115" spans="1:14" ht="13.5" thickTop="1" x14ac:dyDescent="0.2">
      <c r="A115" s="2262" t="s">
        <v>989</v>
      </c>
      <c r="B115" s="2263"/>
      <c r="C115" s="1675"/>
      <c r="D115" s="1675"/>
      <c r="E115" s="1675"/>
      <c r="F115" s="1675"/>
      <c r="G115" s="1675"/>
      <c r="H115" s="1675"/>
      <c r="I115" s="1675"/>
      <c r="J115" s="1675"/>
      <c r="K115" s="1689">
        <f>'Revenues 9-14'!C268-'Expenditures 15-22'!K114</f>
        <v>-73434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67646</v>
      </c>
      <c r="D124" s="1573">
        <v>4881</v>
      </c>
      <c r="E124" s="1573">
        <v>21272</v>
      </c>
      <c r="F124" s="1573">
        <v>63655</v>
      </c>
      <c r="G124" s="1573">
        <v>140532</v>
      </c>
      <c r="H124" s="1573"/>
      <c r="I124" s="1574"/>
      <c r="J124" s="1574"/>
      <c r="K124" s="1674">
        <f>SUM(C124:J124)</f>
        <v>297986</v>
      </c>
      <c r="L124" s="1573">
        <v>358530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67646</v>
      </c>
      <c r="D127" s="1674">
        <f t="shared" ref="D127:L127" si="14">SUM(D122:D126)</f>
        <v>4881</v>
      </c>
      <c r="E127" s="1674">
        <f t="shared" si="14"/>
        <v>21272</v>
      </c>
      <c r="F127" s="1674">
        <f t="shared" si="14"/>
        <v>63655</v>
      </c>
      <c r="G127" s="1674">
        <f t="shared" si="14"/>
        <v>140532</v>
      </c>
      <c r="H127" s="1674">
        <f t="shared" si="14"/>
        <v>0</v>
      </c>
      <c r="I127" s="1674">
        <f t="shared" si="14"/>
        <v>0</v>
      </c>
      <c r="J127" s="1674">
        <f t="shared" si="14"/>
        <v>0</v>
      </c>
      <c r="K127" s="1674">
        <f t="shared" si="14"/>
        <v>297986</v>
      </c>
      <c r="L127" s="1674">
        <f t="shared" si="14"/>
        <v>358530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67646</v>
      </c>
      <c r="D129" s="1681">
        <f t="shared" ref="D129:L129" si="15">SUM(D120,D127,D128)</f>
        <v>4881</v>
      </c>
      <c r="E129" s="1681">
        <f t="shared" si="15"/>
        <v>21272</v>
      </c>
      <c r="F129" s="1681">
        <f t="shared" si="15"/>
        <v>63655</v>
      </c>
      <c r="G129" s="1681">
        <f t="shared" si="15"/>
        <v>140532</v>
      </c>
      <c r="H129" s="1681">
        <f t="shared" si="15"/>
        <v>0</v>
      </c>
      <c r="I129" s="1681">
        <f t="shared" si="15"/>
        <v>0</v>
      </c>
      <c r="J129" s="1681">
        <f t="shared" si="15"/>
        <v>0</v>
      </c>
      <c r="K129" s="1681">
        <f t="shared" si="15"/>
        <v>297986</v>
      </c>
      <c r="L129" s="1681">
        <f t="shared" si="15"/>
        <v>358530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67646</v>
      </c>
      <c r="D151" s="1674">
        <f t="shared" ref="D151:K151" si="16">SUM(D129,D130,D139,D149,D150)</f>
        <v>4881</v>
      </c>
      <c r="E151" s="1674">
        <f t="shared" si="16"/>
        <v>21272</v>
      </c>
      <c r="F151" s="1674">
        <f t="shared" si="16"/>
        <v>63655</v>
      </c>
      <c r="G151" s="1674">
        <f t="shared" si="16"/>
        <v>140532</v>
      </c>
      <c r="H151" s="1674">
        <f t="shared" si="16"/>
        <v>0</v>
      </c>
      <c r="I151" s="1674">
        <f t="shared" si="16"/>
        <v>0</v>
      </c>
      <c r="J151" s="1674">
        <f t="shared" si="16"/>
        <v>0</v>
      </c>
      <c r="K151" s="1674">
        <f t="shared" si="16"/>
        <v>297986</v>
      </c>
      <c r="L151" s="1674">
        <f>SUM(L129,L130,L139,L149,L150)</f>
        <v>358530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-102241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367100</v>
      </c>
      <c r="I169" s="1673"/>
      <c r="J169" s="1673"/>
      <c r="K169" s="1672">
        <f>SUM(C169:H169)</f>
        <v>367100</v>
      </c>
      <c r="L169" s="1695">
        <v>367100</v>
      </c>
    </row>
    <row r="170" spans="1:14" ht="33.75" customHeight="1" x14ac:dyDescent="0.2">
      <c r="A170" s="543" t="s">
        <v>1651</v>
      </c>
      <c r="B170" s="545" t="s">
        <v>31</v>
      </c>
      <c r="C170" s="1673"/>
      <c r="D170" s="1673"/>
      <c r="E170" s="1673"/>
      <c r="F170" s="1673"/>
      <c r="G170" s="1673"/>
      <c r="H170" s="1646">
        <v>125000</v>
      </c>
      <c r="I170" s="1673"/>
      <c r="J170" s="1673"/>
      <c r="K170" s="1672">
        <f>SUM(C170:J170)</f>
        <v>125000</v>
      </c>
      <c r="L170" s="1646">
        <v>125000</v>
      </c>
    </row>
    <row r="171" spans="1:14" ht="15.75" customHeight="1" x14ac:dyDescent="0.2">
      <c r="A171" s="507" t="s">
        <v>761</v>
      </c>
      <c r="B171" s="546" t="s">
        <v>84</v>
      </c>
      <c r="C171" s="1673"/>
      <c r="D171" s="1673"/>
      <c r="E171" s="1573"/>
      <c r="F171" s="1673"/>
      <c r="G171" s="1673"/>
      <c r="H171" s="1646">
        <v>450</v>
      </c>
      <c r="I171" s="1582"/>
      <c r="J171" s="1673"/>
      <c r="K171" s="1672">
        <f>SUM(C171:J171)</f>
        <v>450</v>
      </c>
      <c r="L171" s="1646">
        <v>450</v>
      </c>
    </row>
    <row r="172" spans="1:14" ht="12.75" customHeight="1" thickBot="1" x14ac:dyDescent="0.25">
      <c r="A172" s="1380" t="s">
        <v>633</v>
      </c>
      <c r="B172" s="1381" t="s">
        <v>489</v>
      </c>
      <c r="C172" s="1673"/>
      <c r="D172" s="1673"/>
      <c r="E172" s="1681">
        <f>SUM(E168,E169,E170,E171)</f>
        <v>0</v>
      </c>
      <c r="F172" s="1673"/>
      <c r="G172" s="1673"/>
      <c r="H172" s="1681">
        <f>SUM(H168,H169,H170,H171)</f>
        <v>492550</v>
      </c>
      <c r="I172" s="1684"/>
      <c r="J172" s="1673"/>
      <c r="K172" s="1681">
        <f>SUM(K168,K169,K170,K171)</f>
        <v>492550</v>
      </c>
      <c r="L172" s="1681">
        <f>SUM(L168,L169,L170,L171)</f>
        <v>492550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492550</v>
      </c>
      <c r="I174" s="1684"/>
      <c r="J174" s="1673"/>
      <c r="K174" s="1681">
        <f>SUM(K160,K172,K173)</f>
        <v>492550</v>
      </c>
      <c r="L174" s="1681">
        <f>SUM(L160,L172,L173)</f>
        <v>492550</v>
      </c>
    </row>
    <row r="175" spans="1:14" ht="13.5" thickTop="1" x14ac:dyDescent="0.2">
      <c r="A175" s="2262" t="s">
        <v>989</v>
      </c>
      <c r="B175" s="2263"/>
      <c r="C175" s="1673"/>
      <c r="D175" s="1673"/>
      <c r="E175" s="1673"/>
      <c r="F175" s="1673"/>
      <c r="G175" s="1673"/>
      <c r="H175" s="1675"/>
      <c r="I175" s="1673"/>
      <c r="J175" s="1673"/>
      <c r="K175" s="1689">
        <f>'Revenues 9-14'!E268-'Expenditures 15-22'!K174</f>
        <v>467195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204554</v>
      </c>
      <c r="F182" s="1573"/>
      <c r="G182" s="1573"/>
      <c r="H182" s="1573"/>
      <c r="I182" s="1574"/>
      <c r="J182" s="1574"/>
      <c r="K182" s="1672">
        <f>SUM(C182:J182)</f>
        <v>204554</v>
      </c>
      <c r="L182" s="1573">
        <v>205333</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204554</v>
      </c>
      <c r="F184" s="1681">
        <f t="shared" si="17"/>
        <v>0</v>
      </c>
      <c r="G184" s="1681">
        <f t="shared" si="17"/>
        <v>0</v>
      </c>
      <c r="H184" s="1681">
        <f t="shared" si="17"/>
        <v>0</v>
      </c>
      <c r="I184" s="1681">
        <f t="shared" si="17"/>
        <v>0</v>
      </c>
      <c r="J184" s="1681">
        <f t="shared" si="17"/>
        <v>0</v>
      </c>
      <c r="K184" s="1681">
        <f>SUM(K180,K182,K183)</f>
        <v>204554</v>
      </c>
      <c r="L184" s="1681">
        <f>SUM(L180, L182:L183)</f>
        <v>205333</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3000</v>
      </c>
    </row>
    <row r="210" spans="1:14" ht="12.75" customHeight="1" thickTop="1" thickBot="1" x14ac:dyDescent="0.25">
      <c r="A210" s="1394" t="s">
        <v>275</v>
      </c>
      <c r="B210" s="1395"/>
      <c r="C210" s="1674">
        <f>SUM(C184,C185)</f>
        <v>0</v>
      </c>
      <c r="D210" s="1674">
        <f>SUM(D184,D185)</f>
        <v>0</v>
      </c>
      <c r="E210" s="1674">
        <f>SUM(E184,E185,E196)</f>
        <v>204554</v>
      </c>
      <c r="F210" s="1674">
        <f>SUM(F184,F185)</f>
        <v>0</v>
      </c>
      <c r="G210" s="1674">
        <f>SUM(G184,G185)</f>
        <v>0</v>
      </c>
      <c r="H210" s="1674">
        <f>SUM(H184,H185,H196,H208,H209)</f>
        <v>0</v>
      </c>
      <c r="I210" s="1674">
        <f>SUM(I184,I185)</f>
        <v>0</v>
      </c>
      <c r="J210" s="1674">
        <f>SUM(J184,J185)</f>
        <v>0</v>
      </c>
      <c r="K210" s="1672">
        <f>SUM(K184,K185,K196,K208,K209)</f>
        <v>204554</v>
      </c>
      <c r="L210" s="1674">
        <f>SUM(L184,L185,L196,L208,L209)</f>
        <v>208333</v>
      </c>
    </row>
    <row r="211" spans="1:14" ht="13.5" thickTop="1" x14ac:dyDescent="0.2">
      <c r="A211" s="2262" t="s">
        <v>989</v>
      </c>
      <c r="B211" s="2263"/>
      <c r="C211" s="1675"/>
      <c r="D211" s="1675"/>
      <c r="E211" s="1675"/>
      <c r="F211" s="1675"/>
      <c r="G211" s="1675"/>
      <c r="H211" s="1675"/>
      <c r="I211" s="1673"/>
      <c r="J211" s="1673"/>
      <c r="K211" s="1689">
        <f>'Revenues 9-14'!F268-'Expenditures 15-22'!K210</f>
        <v>4733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19614</v>
      </c>
      <c r="E215" s="1673"/>
      <c r="F215" s="1673"/>
      <c r="G215" s="1673"/>
      <c r="H215" s="1673"/>
      <c r="I215" s="1673"/>
      <c r="J215" s="1673"/>
      <c r="K215" s="1672">
        <f>D215</f>
        <v>19614</v>
      </c>
      <c r="L215" s="1573">
        <v>20527</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3360</v>
      </c>
      <c r="E217" s="1673"/>
      <c r="F217" s="1673"/>
      <c r="G217" s="1673"/>
      <c r="H217" s="1673"/>
      <c r="I217" s="1673"/>
      <c r="J217" s="1673"/>
      <c r="K217" s="1672">
        <f t="shared" si="19"/>
        <v>3360</v>
      </c>
      <c r="L217" s="1573">
        <v>3154</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4387</v>
      </c>
      <c r="E219" s="1673"/>
      <c r="F219" s="1673"/>
      <c r="G219" s="1673"/>
      <c r="H219" s="1673"/>
      <c r="I219" s="1673"/>
      <c r="J219" s="1673"/>
      <c r="K219" s="1672">
        <f t="shared" si="19"/>
        <v>4387</v>
      </c>
      <c r="L219" s="1573">
        <v>4449</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1053</v>
      </c>
      <c r="E223" s="1673"/>
      <c r="F223" s="1673"/>
      <c r="G223" s="1673"/>
      <c r="H223" s="1673"/>
      <c r="I223" s="1673"/>
      <c r="J223" s="1673"/>
      <c r="K223" s="1672">
        <f t="shared" si="19"/>
        <v>1053</v>
      </c>
      <c r="L223" s="1573">
        <v>1192</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28414</v>
      </c>
      <c r="E229" s="1673"/>
      <c r="F229" s="1673"/>
      <c r="G229" s="1673"/>
      <c r="H229" s="1673"/>
      <c r="I229" s="1673"/>
      <c r="J229" s="1673"/>
      <c r="K229" s="1674">
        <f>SUM(K215:K228)</f>
        <v>28414</v>
      </c>
      <c r="L229" s="1674">
        <f>SUM(L215:L228)</f>
        <v>29322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864</v>
      </c>
      <c r="E240" s="1673"/>
      <c r="F240" s="1673"/>
      <c r="G240" s="1673"/>
      <c r="H240" s="1673"/>
      <c r="I240" s="1673"/>
      <c r="J240" s="1673"/>
      <c r="K240" s="1678">
        <f>D240</f>
        <v>864</v>
      </c>
      <c r="L240" s="1586">
        <v>913</v>
      </c>
    </row>
    <row r="241" spans="1:12" x14ac:dyDescent="0.2">
      <c r="A241" s="1274" t="s">
        <v>810</v>
      </c>
      <c r="B241" s="503">
        <v>2220</v>
      </c>
      <c r="C241" s="1673"/>
      <c r="D241" s="1573">
        <v>8789</v>
      </c>
      <c r="E241" s="1673"/>
      <c r="F241" s="1673"/>
      <c r="G241" s="1673"/>
      <c r="H241" s="1673"/>
      <c r="I241" s="1673"/>
      <c r="J241" s="1673"/>
      <c r="K241" s="1678">
        <f>D241</f>
        <v>8789</v>
      </c>
      <c r="L241" s="1573">
        <v>8903</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9653</v>
      </c>
      <c r="E243" s="1673"/>
      <c r="F243" s="1673"/>
      <c r="G243" s="1673"/>
      <c r="H243" s="1673"/>
      <c r="I243" s="1673"/>
      <c r="J243" s="1673"/>
      <c r="K243" s="1674">
        <f>SUM(K240:K242)</f>
        <v>9653</v>
      </c>
      <c r="L243" s="1674">
        <f>SUM(L240:L242)</f>
        <v>9816</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957</v>
      </c>
      <c r="E245" s="1673"/>
      <c r="F245" s="1673"/>
      <c r="G245" s="1673"/>
      <c r="H245" s="1673"/>
      <c r="I245" s="1673"/>
      <c r="J245" s="1673"/>
      <c r="K245" s="1678">
        <f>D245</f>
        <v>957</v>
      </c>
      <c r="L245" s="1586">
        <v>959</v>
      </c>
    </row>
    <row r="246" spans="1:12" x14ac:dyDescent="0.2">
      <c r="A246" s="1274" t="s">
        <v>813</v>
      </c>
      <c r="B246" s="503">
        <v>2320</v>
      </c>
      <c r="C246" s="1673"/>
      <c r="D246" s="1573">
        <v>1668</v>
      </c>
      <c r="E246" s="1673"/>
      <c r="F246" s="1673"/>
      <c r="G246" s="1673"/>
      <c r="H246" s="1673"/>
      <c r="I246" s="1673"/>
      <c r="J246" s="1673"/>
      <c r="K246" s="1678">
        <f t="shared" ref="K246:K256" si="21">D246</f>
        <v>1668</v>
      </c>
      <c r="L246" s="1573">
        <v>1667</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2625</v>
      </c>
      <c r="E257" s="1673"/>
      <c r="F257" s="1673"/>
      <c r="G257" s="1673"/>
      <c r="H257" s="1673"/>
      <c r="I257" s="1673"/>
      <c r="J257" s="1673"/>
      <c r="K257" s="1674">
        <f>SUM(K245:K256)</f>
        <v>2625</v>
      </c>
      <c r="L257" s="1674">
        <f>SUM(L245:L256)</f>
        <v>2626</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11731</v>
      </c>
      <c r="E259" s="1673"/>
      <c r="F259" s="1673"/>
      <c r="G259" s="1673"/>
      <c r="H259" s="1673"/>
      <c r="I259" s="1673"/>
      <c r="J259" s="1673"/>
      <c r="K259" s="1678">
        <f>D259</f>
        <v>11731</v>
      </c>
      <c r="L259" s="1586">
        <v>12189</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11731</v>
      </c>
      <c r="E261" s="1673"/>
      <c r="F261" s="1673"/>
      <c r="G261" s="1673"/>
      <c r="H261" s="1673"/>
      <c r="I261" s="1673"/>
      <c r="J261" s="1673"/>
      <c r="K261" s="1674">
        <f>SUM(K259:K260)</f>
        <v>11731</v>
      </c>
      <c r="L261" s="1674">
        <f>SUM(L259:L260)</f>
        <v>12189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9821</v>
      </c>
      <c r="E264" s="1673"/>
      <c r="F264" s="1673"/>
      <c r="G264" s="1673"/>
      <c r="H264" s="1673"/>
      <c r="I264" s="1673"/>
      <c r="J264" s="1673"/>
      <c r="K264" s="1678">
        <f t="shared" ref="K264:K269" si="22">D264</f>
        <v>9821</v>
      </c>
      <c r="L264" s="1573">
        <v>10344</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14861</v>
      </c>
      <c r="E266" s="1673"/>
      <c r="F266" s="1673"/>
      <c r="G266" s="1673"/>
      <c r="H266" s="1673"/>
      <c r="I266" s="1673"/>
      <c r="J266" s="1673"/>
      <c r="K266" s="1678">
        <f t="shared" si="22"/>
        <v>14861</v>
      </c>
      <c r="L266" s="1573">
        <v>15380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1372</v>
      </c>
      <c r="E268" s="1673"/>
      <c r="F268" s="1673"/>
      <c r="G268" s="1673"/>
      <c r="H268" s="1673"/>
      <c r="I268" s="1673"/>
      <c r="J268" s="1673"/>
      <c r="K268" s="1678">
        <f t="shared" si="22"/>
        <v>1372</v>
      </c>
      <c r="L268" s="1573">
        <v>1412</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26054</v>
      </c>
      <c r="E270" s="1673"/>
      <c r="F270" s="1673"/>
      <c r="G270" s="1673"/>
      <c r="H270" s="1673"/>
      <c r="I270" s="1673"/>
      <c r="J270" s="1673"/>
      <c r="K270" s="1674">
        <f>SUM(K263:K269)</f>
        <v>26054</v>
      </c>
      <c r="L270" s="1674">
        <f>SUM(L263:L269)</f>
        <v>27136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50063</v>
      </c>
      <c r="E279" s="1673"/>
      <c r="F279" s="1673"/>
      <c r="G279" s="1673"/>
      <c r="H279" s="1673"/>
      <c r="I279" s="1673"/>
      <c r="J279" s="1673"/>
      <c r="K279" s="1681">
        <f>SUM(K238,K243,K257,K261,K270,K277,K278)</f>
        <v>50063</v>
      </c>
      <c r="L279" s="1681">
        <f>SUM(L238,L243,L257,L261,L270,L277,L278)</f>
        <v>51767</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78477</v>
      </c>
      <c r="E295" s="1673"/>
      <c r="F295" s="1673"/>
      <c r="G295" s="1673"/>
      <c r="H295" s="1674">
        <f>H293</f>
        <v>0</v>
      </c>
      <c r="I295" s="1673"/>
      <c r="J295" s="1673"/>
      <c r="K295" s="1674">
        <f>SUM(K229,K279,K280,K285,K293,K294)</f>
        <v>78477</v>
      </c>
      <c r="L295" s="1674">
        <f>SUM(L229,L279,L280,L285,L293,L294)</f>
        <v>81089</v>
      </c>
    </row>
    <row r="296" spans="1:14" ht="13.5" thickTop="1" x14ac:dyDescent="0.2">
      <c r="A296" s="2262" t="s">
        <v>989</v>
      </c>
      <c r="B296" s="2263"/>
      <c r="C296" s="1673"/>
      <c r="D296" s="1675"/>
      <c r="E296" s="1673"/>
      <c r="F296" s="1673"/>
      <c r="G296" s="1673"/>
      <c r="H296" s="1707"/>
      <c r="I296" s="1673"/>
      <c r="J296" s="1673"/>
      <c r="K296" s="1689">
        <f>'Revenues 9-14'!G268-'Expenditures 15-22'!K295</f>
        <v>10575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1569768</v>
      </c>
      <c r="H301" s="1573"/>
      <c r="I301" s="1574"/>
      <c r="J301" s="1574"/>
      <c r="K301" s="1672">
        <f>SUM(C301:J301)</f>
        <v>1569768</v>
      </c>
      <c r="L301" s="1574">
        <v>1900000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1569768</v>
      </c>
      <c r="H303" s="1681">
        <f t="shared" si="23"/>
        <v>0</v>
      </c>
      <c r="I303" s="1681">
        <f t="shared" si="23"/>
        <v>0</v>
      </c>
      <c r="J303" s="1681">
        <f t="shared" si="23"/>
        <v>0</v>
      </c>
      <c r="K303" s="1681">
        <f t="shared" si="23"/>
        <v>1569768</v>
      </c>
      <c r="L303" s="1681">
        <f t="shared" si="23"/>
        <v>1900000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1569768</v>
      </c>
      <c r="H312" s="1674">
        <f>SUM(H303,H310)</f>
        <v>0</v>
      </c>
      <c r="I312" s="1674">
        <f>SUM(I303)</f>
        <v>0</v>
      </c>
      <c r="J312" s="1674">
        <f>SUM(J303)</f>
        <v>0</v>
      </c>
      <c r="K312" s="1674">
        <f>SUM(K303,K310,K311)</f>
        <v>1569768</v>
      </c>
      <c r="L312" s="1674">
        <f>SUM(L303,L310,L311)</f>
        <v>1900000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-1545374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10681</v>
      </c>
      <c r="F320" s="1574"/>
      <c r="G320" s="1574"/>
      <c r="H320" s="1574"/>
      <c r="I320" s="1574"/>
      <c r="J320" s="1574"/>
      <c r="K320" s="1672">
        <f t="shared" ref="K320:K327" si="24">SUM(C320:J320)</f>
        <v>10681</v>
      </c>
      <c r="L320" s="1574">
        <v>10000</v>
      </c>
      <c r="M320" s="539"/>
      <c r="N320" s="539"/>
    </row>
    <row r="321" spans="1:14" s="548" customFormat="1" x14ac:dyDescent="0.2">
      <c r="A321" s="1289" t="s">
        <v>297</v>
      </c>
      <c r="B321" s="567" t="s">
        <v>281</v>
      </c>
      <c r="C321" s="1574"/>
      <c r="D321" s="1574"/>
      <c r="E321" s="1574">
        <v>5817</v>
      </c>
      <c r="F321" s="1574"/>
      <c r="G321" s="1574"/>
      <c r="H321" s="1574"/>
      <c r="I321" s="1574"/>
      <c r="J321" s="1574"/>
      <c r="K321" s="1672">
        <f t="shared" si="24"/>
        <v>5817</v>
      </c>
      <c r="L321" s="1574">
        <v>13000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12000</v>
      </c>
      <c r="M322" s="539"/>
      <c r="N322" s="539"/>
    </row>
    <row r="323" spans="1:14" s="548" customFormat="1" x14ac:dyDescent="0.2">
      <c r="A323" s="1289" t="s">
        <v>697</v>
      </c>
      <c r="B323" s="567" t="s">
        <v>283</v>
      </c>
      <c r="C323" s="1574"/>
      <c r="D323" s="1574"/>
      <c r="E323" s="1574">
        <f>19746+4344</f>
        <v>24090</v>
      </c>
      <c r="F323" s="1574"/>
      <c r="G323" s="1574">
        <v>112321</v>
      </c>
      <c r="H323" s="1574"/>
      <c r="I323" s="1574"/>
      <c r="J323" s="1574"/>
      <c r="K323" s="1672">
        <f t="shared" si="24"/>
        <v>136411</v>
      </c>
      <c r="L323" s="1574">
        <v>143561</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78034</v>
      </c>
      <c r="D325" s="1574"/>
      <c r="E325" s="1574"/>
      <c r="F325" s="1574"/>
      <c r="G325" s="1574"/>
      <c r="H325" s="1574"/>
      <c r="I325" s="1574"/>
      <c r="J325" s="1574"/>
      <c r="K325" s="1672">
        <f t="shared" si="24"/>
        <v>78034</v>
      </c>
      <c r="L325" s="1574">
        <v>83848</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398</v>
      </c>
      <c r="F327" s="1574"/>
      <c r="G327" s="1574"/>
      <c r="H327" s="1574"/>
      <c r="I327" s="1574"/>
      <c r="J327" s="1574"/>
      <c r="K327" s="1672">
        <f t="shared" si="24"/>
        <v>398</v>
      </c>
      <c r="L327" s="1574">
        <v>8000</v>
      </c>
      <c r="M327" s="539"/>
      <c r="N327" s="539"/>
    </row>
    <row r="328" spans="1:14" s="548" customFormat="1" x14ac:dyDescent="0.2">
      <c r="A328" s="1290" t="s">
        <v>469</v>
      </c>
      <c r="B328" s="562" t="s">
        <v>1122</v>
      </c>
      <c r="C328" s="1579"/>
      <c r="D328" s="1579"/>
      <c r="E328" s="1579">
        <v>21395</v>
      </c>
      <c r="F328" s="1579"/>
      <c r="G328" s="1579"/>
      <c r="H328" s="1579"/>
      <c r="I328" s="1579"/>
      <c r="J328" s="1579"/>
      <c r="K328" s="1713">
        <f>SUM(C328:J328)</f>
        <v>21395</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78034</v>
      </c>
      <c r="D330" s="1674">
        <f t="shared" ref="D330:J330" si="25">SUM(D319:D329)</f>
        <v>0</v>
      </c>
      <c r="E330" s="1674">
        <f t="shared" si="25"/>
        <v>62381</v>
      </c>
      <c r="F330" s="1674">
        <f t="shared" si="25"/>
        <v>0</v>
      </c>
      <c r="G330" s="1674">
        <f t="shared" si="25"/>
        <v>112321</v>
      </c>
      <c r="H330" s="1674">
        <f t="shared" si="25"/>
        <v>0</v>
      </c>
      <c r="I330" s="1674">
        <f t="shared" si="25"/>
        <v>0</v>
      </c>
      <c r="J330" s="1674">
        <f t="shared" si="25"/>
        <v>0</v>
      </c>
      <c r="K330" s="1674">
        <f>SUM(K319:K329)</f>
        <v>252736</v>
      </c>
      <c r="L330" s="1674">
        <f>SUM(L319:L329)</f>
        <v>270409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v>2955</v>
      </c>
      <c r="I339" s="1684"/>
      <c r="J339" s="1684"/>
      <c r="K339" s="1672">
        <f>H339</f>
        <v>2955</v>
      </c>
      <c r="L339" s="1574"/>
    </row>
    <row r="340" spans="1:14" ht="13.5" thickBot="1" x14ac:dyDescent="0.25">
      <c r="A340" s="1396" t="s">
        <v>896</v>
      </c>
      <c r="B340" s="1381" t="s">
        <v>489</v>
      </c>
      <c r="C340" s="1673"/>
      <c r="D340" s="1673"/>
      <c r="E340" s="1673"/>
      <c r="F340" s="1673"/>
      <c r="G340" s="1673"/>
      <c r="H340" s="1594">
        <f>SUM(H337:H339)</f>
        <v>2955</v>
      </c>
      <c r="I340" s="1673"/>
      <c r="J340" s="1673"/>
      <c r="K340" s="1594">
        <f>SUM(K337:K339)</f>
        <v>2955</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78034</v>
      </c>
      <c r="D342" s="1674">
        <f>SUM(D330)</f>
        <v>0</v>
      </c>
      <c r="E342" s="1674">
        <f>SUM(E330)</f>
        <v>62381</v>
      </c>
      <c r="F342" s="1674">
        <f>SUM(F330)</f>
        <v>0</v>
      </c>
      <c r="G342" s="1674">
        <f>SUM(G330)</f>
        <v>112321</v>
      </c>
      <c r="H342" s="1674">
        <f>SUM(H330,H334,H340)</f>
        <v>2955</v>
      </c>
      <c r="I342" s="1674">
        <f>SUM(I330)</f>
        <v>0</v>
      </c>
      <c r="J342" s="1674">
        <f>SUM(J330)</f>
        <v>0</v>
      </c>
      <c r="K342" s="1674">
        <f>SUM(K330,K334,K340)</f>
        <v>255691</v>
      </c>
      <c r="L342" s="1681">
        <f>SUM(L330,L334,L340,L341)</f>
        <v>270409</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-31302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v>400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400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400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400</v>
      </c>
    </row>
    <row r="368" spans="1:14" ht="13.5" thickTop="1" x14ac:dyDescent="0.2">
      <c r="A368" s="2262" t="s">
        <v>989</v>
      </c>
      <c r="B368" s="2263"/>
      <c r="C368" s="1694"/>
      <c r="D368" s="1694"/>
      <c r="E368" s="1677"/>
      <c r="F368" s="1677"/>
      <c r="G368" s="1677"/>
      <c r="H368" s="1677"/>
      <c r="I368" s="1677"/>
      <c r="J368" s="1676"/>
      <c r="K368" s="1672">
        <f>'Revenues 9-14'!K268-'Expenditures 15-22'!K367</f>
        <v>37314</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purl.org/dc/terms/"/>
    <ds:schemaRef ds:uri="d21dc803-237d-4c68-8692-8d731fd29118"/>
    <ds:schemaRef ds:uri="http://schemas.microsoft.com/office/infopath/2007/PartnerControls"/>
    <ds:schemaRef ds:uri="http://schemas.openxmlformats.org/package/2006/metadata/core-properties"/>
    <ds:schemaRef ds:uri="http://purl.org/dc/dcmitype/"/>
    <ds:schemaRef ds:uri="4d435f69-8686-490b-bd6d-b153bf22ab50"/>
    <ds:schemaRef ds:uri="http://purl.org/dc/elements/1.1/"/>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2020-09-23T14:11:45Z</cp:lastPrinted>
  <dcterms:created xsi:type="dcterms:W3CDTF">2003-10-29T19:06:34Z</dcterms:created>
  <dcterms:modified xsi:type="dcterms:W3CDTF">2020-10-05T13:37:24Z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