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05591DC-B84B-4D43-A398-12961BF869CC}"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9" i="184" l="1"/>
  <c r="N57" i="184"/>
  <c r="N67" i="184"/>
  <c r="N64" i="184"/>
  <c r="N62" i="184"/>
  <c r="N61" i="184"/>
  <c r="N60" i="184"/>
  <c r="E67" i="184" l="1"/>
  <c r="E64" i="184"/>
  <c r="E62" i="184"/>
  <c r="E61" i="184"/>
  <c r="E60" i="184"/>
  <c r="E59" i="184"/>
  <c r="E57" i="184"/>
  <c r="F15" i="184" l="1"/>
  <c r="F19" i="184" s="1"/>
  <c r="E17" i="184"/>
  <c r="E16" i="184"/>
  <c r="E15" i="184"/>
  <c r="E14" i="184"/>
  <c r="E13"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5" i="184"/>
  <c r="H14" i="184"/>
  <c r="H13"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E19" i="183"/>
  <c r="E18" i="183"/>
  <c r="F18" i="183" s="1"/>
  <c r="F17" i="183"/>
  <c r="E17" i="183"/>
  <c r="D7887" i="106" l="1"/>
  <c r="D7886" i="106"/>
  <c r="B7887" i="106"/>
  <c r="B7886" i="106"/>
  <c r="F80" i="34"/>
  <c r="F76" i="34"/>
  <c r="F75" i="34"/>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77" i="4" l="1"/>
  <c r="B3255" i="106" s="1"/>
  <c r="D3255" i="106" s="1"/>
  <c r="B7696" i="106"/>
  <c r="D7696" i="106" s="1"/>
  <c r="E66" i="184"/>
  <c r="N66" i="184" s="1"/>
  <c r="B7198" i="106"/>
  <c r="D7198" i="106" s="1"/>
  <c r="E65" i="184"/>
  <c r="N65" i="184" s="1"/>
  <c r="B7180" i="106"/>
  <c r="D7180" i="106" s="1"/>
  <c r="E63" i="184"/>
  <c r="N63" i="184" s="1"/>
  <c r="B7135" i="106"/>
  <c r="D7135" i="106" s="1"/>
  <c r="E58" i="184"/>
  <c r="H12" i="184"/>
  <c r="H19" i="184" s="1"/>
  <c r="L20" i="184" s="1"/>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F41" i="108" s="1"/>
  <c r="G43" i="108" s="1"/>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E367" i="29"/>
  <c r="B3636" i="106" s="1"/>
  <c r="D3636" i="106" s="1"/>
  <c r="B3635" i="106"/>
  <c r="N58" i="184"/>
  <c r="N68" i="184" s="1"/>
  <c r="E68" i="184"/>
  <c r="B1381" i="106"/>
  <c r="D1381" i="106" s="1"/>
  <c r="L114" i="29"/>
  <c r="B5527" i="106"/>
  <c r="D552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<sst xmlns="http://schemas.openxmlformats.org/spreadsheetml/2006/main" count="5174" uniqueCount="2093">
  <si>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</si>
  <si>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</si>
  <si>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</si>
  <si>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</si>
  <si>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</si>
  <si>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</si>
  <si>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</si>
  <si>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</si>
  <si>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</si>
  <si>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</si>
  <si>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</si>
  <si>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</si>
  <si>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</si>
  <si>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</si>
  <si>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</si>
  <si>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</si>
  <si>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</si>
  <si>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</si>
  <si>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</si>
  <si>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</si>
  <si>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</si>
  <si>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</si>
  <si>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</si>
  <si>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</si>
  <si>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</si>
  <si>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</si>
  <si>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</si>
  <si>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</si>
  <si>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</si>
  <si>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</si>
  <si>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</si>
  <si>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</si>
  <si>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</si>
  <si>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</si>
  <si>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</si>
  <si>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</si>
  <si>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</si>
  <si>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</si>
  <si>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</si>
  <si>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</si>
  <si>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</si>
  <si>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</si>
  <si>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</si>
  <si>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</si>
  <si>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</si>
  <si>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</si>
  <si>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</si>
  <si>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</si>
  <si>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</si>
  <si>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</si>
  <si>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</si>
  <si>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</si>
  <si>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</si>
  <si>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</si>
  <si>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</si>
  <si>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</si>
  <si>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</si>
  <si>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</si>
  <si>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</si>
  <si>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</si>
  <si>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</si>
  <si>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</si>
  <si>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</si>
  <si>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</si>
  <si>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</si>
  <si>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</si>
  <si>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</si>
  <si>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</si>
  <si>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</si>
  <si>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</si>
  <si>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</si>
  <si>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</si>
  <si>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</si>
  <si>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</si>
  <si>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</si>
  <si>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</si>
  <si>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</si>
  <si>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</si>
  <si>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</si>
  <si>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</si>
  <si>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</si>
  <si>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</si>
  <si>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</si>
  <si>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</si>
  <si>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</si>
  <si>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</si>
  <si>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</si>
  <si>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</si>
  <si>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</si>
  <si>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</si>
  <si>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</si>
  <si>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</si>
  <si>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</si>
  <si>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</si>
  <si>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</si>
  <si>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</si>
  <si>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</si>
  <si>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</si>
  <si>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</si>
  <si>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</si>
  <si>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</si>
  <si>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</si>
  <si>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</si>
  <si>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</si>
  <si>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</si>
  <si>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</si>
  <si>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</si>
  <si>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</si>
  <si>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</si>
  <si>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</si>
  <si>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</si>
  <si>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</si>
  <si>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</si>
  <si>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</si>
  <si>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</si>
  <si>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</si>
  <si>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</si>
  <si>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</si>
  <si>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</si>
  <si>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</si>
  <si>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</si>
  <si>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</si>
  <si>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</si>
  <si>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</si>
  <si>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</si>
  <si>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</si>
  <si>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</si>
  <si>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</si>
  <si>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</si>
  <si>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</si>
  <si>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</si>
  <si>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</si>
  <si>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</si>
  <si>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</si>
  <si>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</si>
  <si>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</si>
  <si>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</si>
  <si>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</si>
  <si>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</si>
  <si>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</si>
  <si>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</si>
  <si>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</si>
  <si>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</si>
  <si>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</si>
  <si>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</si>
  <si>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</si>
  <si>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</si>
  <si>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</si>
  <si>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</si>
  <si>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</si>
  <si>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</si>
  <si>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</si>
  <si>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</si>
  <si>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</si>
  <si>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</si>
  <si>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</si>
  <si>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</si>
  <si>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</si>
  <si>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</si>
  <si>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</si>
  <si>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</si>
  <si>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</si>
  <si>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</si>
  <si>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</si>
  <si>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</si>
  <si>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</si>
  <si>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</si>
  <si>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</si>
  <si>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</si>
  <si>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</si>
  <si>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</si>
  <si>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</si>
  <si>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</si>
  <si>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</si>
  <si>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</si>
  <si>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</si>
  <si>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</si>
  <si>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</si>
  <si>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</si>
  <si>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</si>
  <si>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</si>
  <si>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</si>
  <si>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</si>
  <si>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</si>
  <si>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</si>
  <si>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</si>
  <si>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</si>
  <si>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</si>
  <si>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</si>
  <si>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</si>
  <si>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</si>
  <si>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</si>
  <si>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</si>
  <si>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</si>
  <si>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</si>
  <si>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</si>
  <si>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</si>
  <si>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</si>
  <si>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</si>
  <si>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</si>
  <si>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</si>
  <si>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</si>
  <si>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</si>
  <si>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</si>
  <si>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</si>
  <si>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</si>
  <si>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</si>
  <si>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</si>
  <si>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</si>
  <si>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</si>
  <si>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</si>
  <si>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</si>
  <si>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</si>
  <si>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</si>
  <si>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</si>
  <si>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</si>
  <si>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</si>
  <si>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</si>
  <si>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</si>
  <si>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</si>
  <si>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</si>
  <si>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</si>
  <si>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</si>
  <si>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</si>
  <si>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</si>
  <si>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</si>
  <si>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</si>
  <si>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</si>
  <si>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</si>
  <si>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</si>
  <si>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</si>
  <si>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</si>
  <si>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</si>
  <si>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</si>
  <si>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</si>
  <si>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</si>
  <si>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</si>
  <si>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</si>
  <si>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</si>
  <si>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</si>
  <si>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</si>
  <si>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</si>
  <si>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</si>
  <si>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</si>
  <si>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</si>
  <si>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</si>
  <si>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</si>
  <si>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</si>
  <si>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</si>
  <si>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</si>
  <si>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</si>
  <si>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</si>
  <si>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</si>
  <si>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</si>
  <si>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</si>
  <si>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</si>
  <si>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</si>
  <si>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</si>
  <si>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</si>
  <si>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</si>
  <si>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</si>
  <si>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</si>
  <si>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</si>
  <si>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</si>
  <si>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</si>
  <si>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</si>
  <si>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</si>
  <si>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</si>
  <si>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</si>
  <si>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</si>
  <si>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</si>
  <si>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</si>
  <si>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</si>
  <si>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</si>
  <si>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</si>
  <si>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</si>
  <si>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</si>
  <si>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</si>
  <si>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</si>
  <si>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</si>
  <si>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</si>
  <si>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</si>
  <si>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</si>
  <si>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</si>
  <si>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</si>
  <si>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</si>
  <si>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</si>
  <si>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</si>
  <si>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</si>
  <si>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</si>
  <si>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</si>
  <si>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</si>
  <si>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</si>
  <si>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</si>
  <si>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</si>
  <si>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</si>
  <si>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</si>
  <si>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</si>
  <si>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</si>
  <si>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</si>
  <si>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</si>
  <si>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</si>
  <si>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</si>
  <si>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</si>
  <si>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</si>
  <si>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</si>
  <si>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</si>
  <si>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</si>
  <si>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</si>
  <si>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</si>
  <si>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</si>
  <si>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</si>
  <si>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</si>
  <si>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</si>
  <si>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</si>
  <si>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</si>
  <si>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</si>
  <si>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</si>
  <si>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</si>
  <si>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</si>
  <si>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</si>
  <si>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</si>
  <si>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</si>
  <si>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</si>
  <si>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</si>
  <si>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</si>
  <si>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</si>
  <si>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</si>
  <si>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</si>
  <si>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</si>
  <si>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</si>
  <si>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</si>
  <si>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</si>
  <si>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</si>
  <si>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</si>
  <si>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</si>
  <si>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</si>
  <si>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</si>
  <si>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</si>
  <si>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</si>
  <si>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</si>
  <si>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</si>
  <si>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</si>
  <si>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</si>
  <si>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</si>
  <si>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</si>
  <si>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</si>
  <si>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</si>
  <si>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</si>
  <si>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</si>
  <si>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</si>
  <si>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</si>
  <si>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</si>
  <si>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</si>
  <si>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</si>
  <si>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</si>
  <si>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</si>
  <si>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</si>
  <si>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</si>
  <si>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</si>
  <si>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</si>
  <si>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</si>
  <si>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</si>
  <si>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</si>
  <si>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</si>
  <si>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</si>
  <si>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</si>
  <si>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</si>
  <si>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</si>
  <si>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</si>
  <si>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</si>
  <si>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</si>
  <si>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</si>
  <si>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</si>
  <si>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</si>
  <si>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</si>
  <si>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</si>
  <si>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</si>
  <si>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</si>
  <si>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</si>
  <si>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</si>
  <si>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</si>
  <si>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</si>
  <si>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</si>
  <si>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</si>
  <si>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</si>
  <si>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</si>
  <si>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</si>
  <si>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</si>
  <si>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</si>
  <si>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</si>
  <si>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</si>
  <si>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</si>
  <si>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</si>
  <si>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</si>
  <si>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</si>
  <si>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</si>
  <si>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</si>
  <si>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</si>
  <si>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</si>
  <si>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</si>
  <si>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</si>
  <si>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</si>
  <si>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</si>
  <si>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</si>
  <si>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</si>
  <si>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</si>
  <si>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</si>
  <si>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</si>
  <si>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</si>
  <si>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</si>
  <si>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</si>
  <si>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</si>
  <si>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</si>
  <si>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</si>
  <si>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</si>
  <si>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</si>
  <si>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</si>
  <si>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</si>
  <si>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</si>
  <si>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</si>
  <si>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</si>
  <si>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</si>
  <si>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</si>
  <si>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</si>
  <si>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</si>
  <si>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</si>
  <si>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</si>
  <si>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</si>
  <si>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</si>
  <si>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</si>
  <si>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</si>
  <si>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</si>
  <si>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</si>
  <si>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</si>
  <si>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</si>
  <si>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</si>
  <si>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</si>
  <si>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</si>
  <si>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</si>
  <si>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</si>
  <si>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</si>
  <si>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</si>
  <si>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</si>
  <si>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</si>
  <si>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</si>
  <si>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</si>
  <si>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</si>
  <si>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</si>
  <si>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</si>
  <si>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</si>
  <si>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</si>
  <si>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</si>
  <si>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</si>
  <si>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</si>
  <si>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</si>
  <si>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</si>
  <si>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</si>
  <si>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</si>
  <si>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</si>
  <si>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</si>
  <si>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</si>
  <si>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</si>
  <si>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</si>
  <si>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</si>
  <si>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</si>
  <si>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</si>
  <si>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</si>
  <si>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</si>
  <si>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</si>
  <si>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</si>
  <si>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</si>
  <si>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</si>
  <si>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</si>
  <si>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</si>
  <si>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</si>
  <si>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</si>
  <si>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</si>
  <si>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</si>
  <si>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</si>
  <si>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</si>
  <si>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</si>
  <si>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</si>
  <si>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</si>
  <si>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</si>
  <si>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</si>
  <si>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</si>
  <si>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</si>
  <si>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</si>
  <si>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</si>
  <si>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</si>
  <si>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</si>
  <si>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</si>
  <si>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</si>
  <si>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</si>
  <si>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</si>
  <si>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</si>
  <si>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</si>
  <si>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</si>
  <si>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</si>
  <si>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</si>
  <si>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</si>
  <si>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</si>
  <si>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</si>
  <si>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</si>
  <si>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</si>
  <si>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</si>
  <si>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</si>
  <si>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</si>
  <si>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</si>
  <si>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</si>
  <si>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</si>
  <si>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</si>
  <si>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</si>
  <si>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</si>
  <si>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</si>
  <si>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</si>
  <si>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</si>
  <si>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</si>
  <si>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</si>
  <si>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</si>
  <si>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</si>
  <si>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</si>
  <si>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</si>
  <si>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</si>
  <si>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</si>
  <si>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</si>
  <si>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</si>
  <si>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</si>
  <si>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</si>
  <si>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</si>
  <si>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</si>
  <si>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</si>
  <si>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</si>
  <si>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</si>
  <si>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</si>
  <si>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</si>
  <si>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</si>
  <si>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</si>
  <si>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</si>
  <si>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</si>
  <si>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</si>
  <si>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</si>
  <si>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</si>
  <si>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</si>
  <si>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</si>
  <si>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</si>
  <si>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</si>
  <si>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</si>
  <si>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</si>
  <si>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</si>
  <si>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</si>
  <si>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</si>
  <si>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</si>
  <si>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</si>
  <si>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</si>
  <si>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</si>
  <si>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</si>
  <si>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</si>
  <si>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</si>
  <si>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</si>
  <si>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</si>
  <si>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</si>
  <si>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</si>
  <si>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</si>
  <si>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</si>
  <si>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</si>
  <si>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</si>
  <si>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</si>
  <si>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</si>
  <si>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</si>
  <si>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</si>
  <si>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</si>
  <si>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</si>
  <si>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</si>
  <si>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</si>
  <si>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</si>
  <si>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</si>
  <si>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</si>
  <si>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</si>
  <si>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</si>
  <si>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</si>
  <si>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</si>
  <si>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</si>
  <si>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</si>
  <si>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</si>
  <si>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</si>
  <si>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</si>
  <si>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</si>
  <si>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</si>
  <si>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</si>
  <si>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</si>
  <si>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</si>
  <si>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</si>
  <si>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</si>
  <si>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</si>
  <si>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</si>
  <si>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</si>
  <si>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</si>
  <si>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</si>
  <si>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</si>
  <si>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</si>
  <si>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</si>
  <si>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</si>
  <si>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</si>
  <si>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</si>
  <si>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</si>
  <si>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</si>
  <si>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</si>
  <si>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</si>
  <si>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</si>
  <si>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</si>
  <si>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</si>
  <si>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</si>
  <si>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</si>
  <si>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</si>
  <si>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</si>
  <si>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</si>
  <si>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</si>
  <si>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</si>
  <si>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</si>
  <si>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</si>
  <si>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</si>
  <si>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</si>
  <si>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</si>
  <si>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</si>
  <si>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</si>
  <si>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</si>
  <si>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</si>
  <si>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</si>
  <si>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</si>
  <si>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</si>
  <si>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</si>
  <si>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</si>
  <si>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</si>
  <si>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</si>
  <si>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</si>
  <si>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</si>
  <si>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</si>
  <si>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</si>
  <si>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</si>
  <si>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</si>
  <si>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</si>
  <si>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</si>
  <si>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</si>
  <si>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</si>
  <si>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</si>
  <si>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</si>
  <si>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</si>
  <si>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</si>
  <si>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</si>
  <si>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</si>
  <si>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</si>
  <si>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</si>
  <si>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</si>
  <si>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</si>
  <si>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</si>
  <si>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</si>
  <si>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</si>
  <si>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</si>
  <si>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</si>
  <si>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</si>
  <si>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</si>
  <si>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</si>
  <si>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</si>
  <si>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</si>
  <si>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</si>
  <si>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</si>
  <si>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</si>
  <si>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</si>
  <si>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</si>
  <si>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</si>
  <si>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</si>
  <si>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</si>
  <si>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</si>
  <si>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</si>
  <si>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</si>
  <si>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</si>
  <si>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</si>
  <si>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</si>
  <si>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</si>
  <si>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</si>
  <si>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</si>
  <si>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</si>
  <si>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</si>
  <si>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</si>
  <si>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</si>
  <si>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</si>
  <si>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</si>
  <si>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</si>
  <si>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</si>
  <si>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</si>
  <si>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</si>
  <si>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</si>
  <si>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</si>
  <si>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</si>
  <si>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</si>
  <si>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</si>
  <si>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</si>
  <si>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</si>
  <si>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</si>
  <si>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</si>
  <si>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</si>
  <si>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</si>
  <si>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</si>
  <si>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</si>
  <si>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</si>
  <si>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</si>
  <si>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</si>
  <si>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</si>
  <si>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</si>
  <si>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</si>
  <si>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</si>
  <si>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</si>
  <si>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</si>
  <si>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</si>
  <si>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</si>
  <si>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</si>
  <si>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</si>
  <si>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</si>
  <si>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</si>
  <si>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</si>
  <si>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</si>
  <si>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</si>
  <si>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</si>
  <si>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</si>
  <si>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</si>
  <si>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</si>
  <si>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</si>
  <si>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</si>
  <si>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</si>
  <si>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</si>
  <si>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</si>
  <si>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</si>
  <si>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</si>
  <si>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</si>
  <si>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</si>
  <si>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</si>
  <si>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</si>
  <si>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</si>
  <si>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</si>
  <si>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</si>
  <si>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</si>
  <si>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</si>
  <si>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</si>
  <si>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</si>
  <si>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</si>
  <si>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</si>
  <si>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</si>
  <si>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</si>
  <si>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</si>
  <si>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</si>
  <si>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</si>
  <si>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</si>
  <si>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</si>
  <si>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</si>
  <si>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</si>
  <si>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</si>
  <si>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</si>
  <si>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</si>
  <si>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</si>
  <si>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</si>
  <si>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</si>
  <si>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</si>
  <si>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</si>
  <si>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</si>
  <si>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</si>
  <si>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</si>
  <si>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</si>
  <si>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</si>
  <si>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</si>
  <si>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</si>
  <si>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</si>
  <si>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</si>
  <si>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</si>
  <si>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</si>
  <si>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</si>
  <si>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</si>
  <si>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</si>
  <si>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</si>
  <si>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</si>
  <si>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</si>
  <si>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</si>
  <si>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</si>
  <si>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</si>
  <si>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</si>
  <si>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</si>
  <si>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</si>
  <si>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</si>
  <si>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</si>
  <si>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</si>
  <si>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</si>
  <si>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</si>
  <si>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</si>
  <si>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</si>
  <si>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</si>
  <si>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</si>
  <si>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</si>
  <si>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</si>
  <si>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</si>
  <si>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</si>
  <si>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</si>
  <si>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</si>
  <si>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</si>
  <si>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</si>
  <si>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</si>
  <si>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</si>
  <si>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</si>
  <si>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</si>
  <si>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</si>
  <si>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</si>
  <si>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</si>
  <si>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</si>
  <si>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</si>
  <si>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</si>
  <si>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</si>
  <si>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</si>
  <si>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</si>
  <si>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</si>
  <si>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</si>
  <si>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</si>
  <si>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</si>
  <si>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</si>
  <si>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</si>
  <si>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</si>
  <si>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</si>
  <si>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</si>
  <si>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</si>
  <si>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</si>
  <si>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</si>
  <si>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</si>
  <si>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</si>
  <si>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</si>
  <si>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</si>
  <si>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</si>
  <si>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</si>
  <si>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</si>
  <si>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</si>
  <si>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</si>
  <si>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</si>
  <si>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</si>
  <si>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</si>
  <si>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</si>
  <si>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</si>
  <si>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</si>
  <si>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</si>
  <si>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</si>
  <si>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</si>
  <si>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</si>
  <si>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</si>
  <si>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</si>
  <si>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</si>
  <si>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</si>
  <si>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</si>
  <si>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</si>
  <si>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</si>
  <si>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</si>
  <si>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</si>
  <si>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</si>
  <si>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</si>
  <si>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</si>
  <si>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</si>
  <si>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</si>
  <si>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</si>
  <si>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</si>
  <si>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</si>
  <si>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</si>
  <si>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</si>
  <si>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</si>
  <si>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</si>
  <si>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</si>
  <si>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</si>
  <si>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</si>
  <si>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</si>
  <si>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</si>
  <si>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</si>
  <si>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</si>
  <si>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</si>
  <si>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</si>
  <si>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</si>
  <si>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</si>
  <si>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</si>
  <si>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</si>
  <si>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</si>
  <si>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</si>
  <si>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</si>
  <si>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</si>
  <si>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</si>
  <si>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</si>
  <si>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</si>
  <si>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</si>
  <si>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</si>
  <si>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</si>
  <si>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</si>
  <si>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</si>
  <si>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</si>
  <si>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</si>
  <si>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</si>
  <si>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</si>
  <si>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</si>
  <si>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</si>
  <si>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</si>
  <si>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</si>
  <si>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</si>
  <si>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</si>
  <si>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</si>
  <si>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</si>
  <si>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</si>
  <si>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</si>
  <si>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</si>
  <si>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</si>
  <si>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</si>
  <si>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</si>
  <si>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</si>
  <si>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</si>
  <si>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</si>
  <si>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</si>
  <si>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</si>
  <si>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</si>
  <si>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</si>
  <si>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</si>
  <si>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</si>
  <si>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</si>
  <si>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</si>
  <si>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</si>
  <si>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</si>
  <si>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</si>
  <si>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</si>
  <si>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</si>
  <si>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</si>
  <si>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</si>
  <si>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</si>
  <si>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</si>
  <si>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</si>
  <si>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</si>
  <si>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</si>
  <si>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</si>
  <si>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</si>
  <si>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</si>
  <si>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</si>
  <si>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</si>
  <si>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</si>
  <si>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</si>
  <si>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</si>
  <si>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</si>
  <si>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</si>
  <si>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</si>
  <si>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</si>
  <si>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</si>
  <si>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</si>
  <si>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</si>
  <si>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</si>
  <si>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</si>
  <si>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</si>
  <si>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</si>
  <si>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</si>
  <si>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</si>
  <si>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</si>
  <si>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</si>
  <si>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</si>
  <si>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</si>
  <si>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</si>
  <si>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</si>
  <si>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</si>
  <si>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</si>
  <si>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</si>
  <si>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</si>
  <si>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</si>
  <si>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</si>
  <si>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</si>
  <si>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</si>
  <si>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</si>
  <si>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</si>
  <si>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</si>
  <si>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</si>
  <si>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</si>
  <si>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</si>
  <si>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</si>
  <si>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</si>
  <si>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</si>
  <si>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</si>
  <si>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</si>
  <si>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</si>
  <si>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</si>
  <si>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</si>
  <si>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</si>
  <si>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</si>
  <si>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</si>
  <si>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</si>
  <si>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</si>
  <si>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</si>
  <si>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</si>
  <si>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</si>
  <si>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</si>
  <si>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</si>
  <si>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</si>
  <si>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</si>
  <si>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</si>
  <si>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</si>
  <si>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</si>
  <si>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</si>
  <si>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</si>
  <si>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</si>
  <si>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</si>
  <si>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</si>
  <si>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</si>
  <si>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</si>
  <si>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</si>
  <si>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</si>
  <si>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</si>
  <si>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</si>
  <si>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</si>
  <si>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</si>
  <si>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</si>
  <si>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</si>
  <si>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</si>
  <si>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</si>
  <si>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</si>
  <si>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</si>
  <si>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</si>
  <si>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</si>
  <si>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</si>
  <si>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</si>
  <si>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</si>
  <si>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</si>
  <si>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</si>
  <si>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</si>
  <si>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</si>
  <si>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</si>
  <si>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</si>
  <si>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</si>
  <si>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</si>
  <si>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</si>
  <si>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</si>
  <si>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</si>
  <si>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</si>
  <si>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</si>
  <si>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</si>
  <si>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</si>
  <si>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</si>
  <si>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</si>
  <si>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</si>
  <si>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</si>
  <si>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</si>
  <si>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</si>
  <si>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</si>
  <si>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</si>
  <si>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</si>
  <si>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</si>
  <si>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</si>
  <si>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</si>
  <si>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</si>
  <si>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</si>
  <si>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</si>
  <si>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</si>
  <si>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</si>
  <si>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</si>
  <si>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</si>
  <si>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</si>
  <si>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</si>
  <si>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</si>
  <si>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</si>
  <si>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</si>
  <si>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</si>
  <si>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</si>
  <si>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</si>
  <si>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</si>
  <si>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</si>
  <si>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</si>
  <si>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</si>
  <si>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</si>
  <si>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</si>
  <si>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</si>
  <si>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</si>
  <si>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</si>
  <si>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</si>
  <si>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</si>
  <si>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</si>
  <si>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</si>
  <si>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</si>
  <si>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</si>
  <si>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</si>
  <si>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</si>
  <si>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</si>
  <si>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</si>
  <si>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</si>
  <si>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</si>
  <si>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</si>
  <si>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</si>
  <si>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</si>
  <si>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</si>
  <si>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</si>
  <si>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</si>
  <si>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</si>
  <si>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</si>
  <si>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</si>
  <si>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</si>
  <si>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</si>
  <si>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</si>
  <si>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</si>
  <si>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</si>
  <si>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</si>
  <si>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</si>
  <si>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</si>
  <si>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</si>
  <si>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</si>
  <si>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</si>
  <si>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</si>
  <si>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</si>
  <si>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</si>
  <si>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</si>
  <si>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</si>
  <si>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</si>
  <si>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</si>
  <si>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</si>
  <si>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</si>
  <si>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</si>
  <si>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</si>
  <si>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</si>
  <si>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</si>
  <si>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</si>
  <si>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</si>
  <si>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</si>
  <si>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</si>
  <si>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</si>
  <si>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</si>
  <si>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</si>
  <si>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</si>
  <si>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</si>
  <si>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</si>
  <si>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</si>
  <si>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</si>
  <si>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</si>
  <si>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</si>
  <si>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</si>
  <si>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</si>
  <si>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</si>
  <si>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</si>
  <si>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</si>
  <si>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</si>
  <si>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</si>
  <si>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</si>
  <si>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</si>
  <si>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</si>
  <si>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</si>
  <si>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</si>
  <si>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</si>
  <si>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</si>
  <si>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</si>
  <si>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</si>
  <si>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</si>
  <si>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</si>
  <si>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</si>
  <si>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</si>
  <si>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</si>
  <si>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</si>
  <si>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</si>
  <si>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</si>
  <si>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</si>
  <si>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</si>
  <si>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</si>
  <si>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</si>
  <si>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</si>
  <si>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</si>
  <si>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</si>
  <si>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</si>
  <si>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</si>
  <si>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</si>
  <si>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</si>
  <si>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</si>
  <si>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</si>
  <si>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</si>
  <si>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</si>
  <si>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</si>
  <si>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</si>
  <si>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</si>
  <si>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</si>
  <si>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</si>
  <si>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</si>
  <si>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</si>
  <si>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</si>
  <si>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</si>
  <si>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</si>
  <si>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</si>
  <si>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</si>
  <si>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</si>
  <si>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</si>
  <si>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</si>
  <si>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</si>
  <si>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</si>
  <si>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</si>
  <si>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</si>
  <si>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</si>
  <si>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</si>
  <si>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</si>
  <si>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</si>
  <si>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</si>
  <si>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</si>
  <si>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</si>
  <si>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</si>
  <si>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</si>
  <si>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</si>
  <si>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</si>
  <si>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</si>
  <si>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</si>
  <si>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</si>
  <si>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</si>
  <si>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</si>
  <si>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</si>
  <si>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</si>
  <si>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</si>
  <si>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</si>
  <si>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</si>
  <si>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</si>
  <si>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</si>
  <si>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</si>
  <si>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</si>
  <si>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</si>
  <si>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</si>
  <si>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</si>
  <si>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</si>
  <si>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</si>
  <si>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</si>
  <si>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</si>
  <si>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</si>
  <si>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</si>
  <si>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</si>
  <si>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</si>
  <si>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</si>
  <si>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</si>
  <si>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</si>
  <si>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</si>
  <si>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</si>
  <si>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</si>
  <si>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</si>
  <si>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</si>
  <si>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</si>
  <si>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</si>
  <si>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</si>
  <si>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</si>
  <si>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</si>
  <si>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</si>
  <si>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</si>
  <si>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</si>
  <si>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</si>
  <si>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</si>
  <si>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</si>
  <si>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</si>
  <si>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</si>
  <si>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</si>
  <si>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</si>
  <si>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</si>
  <si>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</si>
  <si>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</si>
  <si>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</si>
  <si>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</si>
  <si>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</si>
  <si>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</si>
  <si>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</si>
  <si>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</si>
  <si>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</si>
  <si>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</si>
  <si>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</si>
  <si>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</si>
  <si>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</si>
  <si>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</si>
  <si>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</si>
  <si>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</si>
  <si>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</si>
  <si>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</si>
  <si>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</si>
  <si>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</si>
  <si>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</si>
  <si>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</si>
  <si>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</si>
  <si>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</si>
  <si>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</si>
  <si>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</si>
  <si>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</si>
  <si>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</si>
  <si>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</si>
  <si>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</si>
  <si>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</si>
  <si>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</si>
  <si>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</si>
  <si>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</si>
  <si>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</si>
  <si>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</si>
  <si>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</si>
  <si>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</si>
  <si>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</si>
  <si>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</si>
  <si>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</si>
  <si>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</si>
  <si>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</si>
  <si>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</si>
  <si>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</si>
  <si>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</si>
  <si>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</si>
  <si>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</si>
  <si>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</si>
  <si>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</si>
  <si>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</si>
  <si>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</si>
  <si>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</si>
  <si>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</si>
  <si>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</si>
  <si>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</si>
  <si>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</si>
  <si>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</si>
  <si>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</si>
  <si>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</si>
  <si>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</si>
  <si>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</si>
  <si>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</si>
  <si>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</si>
  <si>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</si>
  <si>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</si>
  <si>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</si>
  <si>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</si>
  <si>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</si>
  <si>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</si>
  <si>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</si>
  <si>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</si>
  <si>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</si>
  <si>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</si>
  <si>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</si>
  <si>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</si>
  <si>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</si>
  <si>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</si>
  <si>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</si>
  <si>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</si>
  <si>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</si>
  <si>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</si>
  <si>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</si>
  <si>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</si>
  <si>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</si>
  <si>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</si>
  <si>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</si>
  <si>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</si>
  <si>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</si>
  <si>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</si>
  <si>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</si>
  <si>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</si>
  <si>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</si>
  <si>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</si>
  <si>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</si>
  <si>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</si>
  <si>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</si>
  <si>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</si>
  <si>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</si>
  <si>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</si>
  <si>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</si>
  <si>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</si>
  <si>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</si>
  <si>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</si>
  <si>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</si>
  <si>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</si>
  <si>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</si>
  <si>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</si>
  <si>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</si>
  <si>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</si>
  <si>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</si>
  <si>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</si>
  <si>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</si>
  <si>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</si>
  <si>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</si>
  <si>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</si>
  <si>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</si>
  <si>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</si>
  <si>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</si>
  <si>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</si>
  <si>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</si>
  <si>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</si>
  <si>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</si>
  <si>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</si>
  <si>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</si>
  <si>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</si>
  <si>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</si>
  <si>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</si>
  <si>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</si>
  <si>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</si>
  <si>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</si>
  <si>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</si>
  <si>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</si>
  <si>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</si>
  <si>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</si>
  <si>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</si>
  <si>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</si>
  <si>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</si>
  <si>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</si>
  <si>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</si>
  <si>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</si>
  <si>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</si>
  <si>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</si>
  <si>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</si>
  <si>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</si>
  <si>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</si>
  <si>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</si>
  <si>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</si>
  <si>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</si>
  <si>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</si>
  <si>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</si>
  <si>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</si>
  <si>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</si>
  <si>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</si>
  <si>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</si>
  <si>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</si>
  <si>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</si>
  <si>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</si>
  <si>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</si>
  <si>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</si>
  <si>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</si>
  <si>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</si>
  <si>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</si>
  <si>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</si>
  <si>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</si>
  <si>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</si>
  <si>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</si>
  <si>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</si>
  <si>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</si>
  <si>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</si>
  <si>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</si>
  <si>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</si>
  <si>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</si>
  <si>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</si>
  <si>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</si>
  <si>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</si>
  <si>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</si>
  <si>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</si>
  <si>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</si>
  <si>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</si>
  <si>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</si>
  <si>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</si>
  <si>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</si>
  <si>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</si>
  <si>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</si>
  <si>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</si>
  <si>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</si>
  <si>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</si>
  <si>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</si>
  <si>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</si>
  <si>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</si>
  <si>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</si>
  <si>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</si>
  <si>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</si>
  <si>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</si>
  <si>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</si>
  <si>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</si>
  <si>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</si>
  <si>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</si>
  <si>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</si>
  <si>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</si>
  <si>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</si>
  <si>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</si>
  <si>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</si>
  <si>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</si>
  <si>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</si>
  <si>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</si>
  <si>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</si>
  <si>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</si>
  <si>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</si>
  <si>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</si>
  <si>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</si>
  <si>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</si>
  <si>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</si>
  <si>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</si>
  <si>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</si>
  <si>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</si>
  <si>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</si>
  <si>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</si>
  <si>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</si>
  <si>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</si>
  <si>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</si>
  <si>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</si>
  <si>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</si>
  <si>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</si>
  <si>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</si>
  <si>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</si>
  <si>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</si>
  <si>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</si>
  <si>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</si>
  <si>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</si>
  <si>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</si>
  <si>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</si>
  <si>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</si>
  <si>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</si>
  <si>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</si>
  <si>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</si>
  <si>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</si>
  <si>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</si>
  <si>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</si>
  <si>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</si>
  <si>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</si>
  <si>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</si>
  <si>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</si>
  <si>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</si>
  <si>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</si>
  <si>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</si>
  <si>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</si>
  <si>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</si>
  <si>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</si>
  <si>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</si>
  <si>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</si>
  <si>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</si>
  <si>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</si>
  <si>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</si>
  <si>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</si>
  <si>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</si>
  <si>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</si>
  <si>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</si>
  <si>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</si>
  <si>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</si>
  <si>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</si>
  <si>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</si>
  <si>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</si>
  <si>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</si>
  <si>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</si>
  <si>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</si>
  <si>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</si>
  <si>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</si>
  <si>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</si>
  <si>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</si>
  <si>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</si>
  <si>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</si>
  <si>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</si>
  <si>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</si>
  <si>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</si>
  <si>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</si>
  <si>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</si>
  <si>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</si>
  <si>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</si>
  <si>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</si>
  <si>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</si>
  <si>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</si>
  <si>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</si>
  <si>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</si>
  <si>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</si>
  <si>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</si>
  <si>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</si>
  <si>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</si>
  <si>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</si>
  <si>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</si>
  <si>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</si>
  <si>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</si>
  <si>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</si>
  <si>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</si>
  <si>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</si>
  <si>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</si>
  <si>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</si>
  <si>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</si>
  <si>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</si>
  <si>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</si>
  <si>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</si>
  <si>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</si>
  <si>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</si>
  <si>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</si>
  <si>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</si>
  <si>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</si>
  <si>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</si>
  <si>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</si>
  <si>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</si>
  <si>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</si>
  <si>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</si>
  <si>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</si>
  <si>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</si>
  <si>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</si>
  <si>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</si>
  <si>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</si>
  <si>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</si>
  <si>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</si>
  <si>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</si>
  <si>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</si>
  <si>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</si>
  <si>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</si>
  <si>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</si>
  <si>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</si>
  <si>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</si>
  <si>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</si>
  <si>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</si>
  <si>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</si>
  <si>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</si>
  <si>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</si>
  <si>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</si>
  <si>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</si>
  <si>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</si>
  <si>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</si>
  <si>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</si>
  <si>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</si>
  <si>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</si>
  <si>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</si>
  <si>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</si>
  <si>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</si>
  <si>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</si>
  <si>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</si>
  <si>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</si>
  <si>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</si>
  <si>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</si>
  <si>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</si>
  <si>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</si>
  <si>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</si>
  <si>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</si>
  <si>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</si>
  <si>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</si>
  <si>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</si>
  <si>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</si>
  <si>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</si>
  <si>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</si>
  <si>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</si>
  <si>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</si>
  <si>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</si>
  <si>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</si>
  <si>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</si>
  <si>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</si>
  <si>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</si>
  <si>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</si>
  <si>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</si>
  <si>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</si>
  <si>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</si>
  <si>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</si>
  <si>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</si>
  <si>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</si>
  <si>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</si>
  <si>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</si>
  <si>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</si>
  <si>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</si>
  <si>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</si>
  <si>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</si>
  <si>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</si>
  <si>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</si>
  <si>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</si>
  <si>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</si>
  <si>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</si>
  <si>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</si>
  <si>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</si>
  <si>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</si>
  <si>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</si>
  <si>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</si>
  <si>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</si>
  <si>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</si>
  <si>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</si>
  <si>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</si>
  <si>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</si>
  <si>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</si>
  <si>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</si>
  <si>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</si>
  <si>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</si>
  <si>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</si>
  <si>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</si>
  <si>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</si>
  <si>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</si>
  <si>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</si>
  <si>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</si>
  <si>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</si>
  <si>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</si>
  <si>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</si>
  <si>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</si>
  <si>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</si>
  <si>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</si>
  <si>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</si>
  <si>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</si>
  <si>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</si>
  <si>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</si>
  <si>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</si>
  <si>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</si>
  <si>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</si>
  <si>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</si>
  <si>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</si>
  <si>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</si>
  <si>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</si>
  <si>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</si>
  <si>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</si>
  <si>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</si>
  <si>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</si>
  <si>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</si>
  <si>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</si>
  <si>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</si>
  <si>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</si>
  <si>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</si>
  <si>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</si>
  <si>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</si>
  <si>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</si>
  <si>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</si>
  <si>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</si>
  <si>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</si>
  <si>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</si>
  <si>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</si>
  <si>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</si>
  <si>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</si>
  <si>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</si>
  <si>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</si>
  <si>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</si>
  <si>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</si>
  <si>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</si>
  <si>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</si>
  <si>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</si>
  <si>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</si>
  <si>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</si>
  <si>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</si>
  <si>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</si>
  <si>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</si>
  <si>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</si>
  <si>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</si>
  <si>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</si>
  <si>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</si>
  <si>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</si>
  <si>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</si>
  <si>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</si>
  <si>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</si>
  <si>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</si>
  <si>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</si>
  <si>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</si>
  <si>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</si>
  <si>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</si>
  <si>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</si>
  <si>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</si>
  <si>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</si>
  <si>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</si>
  <si>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</si>
  <si>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</si>
  <si>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</si>
  <si>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</si>
  <si>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</si>
  <si>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</si>
  <si>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</si>
  <si>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</si>
  <si>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</si>
  <si>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</si>
  <si>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</si>
  <si>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</si>
  <si>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</si>
  <si>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</si>
  <si>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</si>
  <si>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</si>
  <si>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</si>
  <si>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</si>
  <si>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</si>
  <si>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</si>
  <si>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</si>
  <si>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</si>
  <si>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</si>
  <si>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</si>
  <si>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</si>
  <si>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</si>
  <si>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</si>
  <si>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</si>
  <si>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</si>
  <si>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</si>
  <si>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</si>
  <si>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</si>
  <si>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</si>
  <si>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</si>
  <si>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</si>
  <si>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</si>
  <si>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</si>
  <si>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</si>
  <si>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</si>
  <si>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</si>
  <si>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</si>
  <si>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</si>
  <si>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</si>
  <si>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</si>
  <si>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</si>
  <si>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</si>
  <si>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</si>
  <si>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</si>
  <si>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</si>
  <si>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</si>
  <si>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</si>
  <si>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</si>
  <si>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</si>
  <si>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</si>
  <si>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</si>
  <si>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</si>
  <si>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</si>
  <si>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</si>
  <si>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</si>
  <si>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</si>
  <si>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</si>
  <si>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</si>
  <si>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</si>
  <si>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</si>
  <si>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</si>
  <si>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</si>
  <si>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</si>
  <si>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</si>
  <si>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</si>
  <si>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</si>
  <si>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</si>
  <si>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</si>
  <si>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</si>
  <si>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</si>
  <si>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</si>
  <si>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</si>
  <si>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</si>
  <si>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</si>
  <si>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</si>
  <si>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</si>
  <si>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</si>
  <si>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</si>
  <si>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</si>
  <si>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</si>
  <si>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</si>
  <si>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</si>
  <si>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</si>
  <si>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</si>
  <si>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</si>
  <si>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</si>
  <si>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</si>
  <si>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</si>
  <si>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</si>
  <si>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</si>
  <si>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</si>
  <si>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</si>
  <si>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</si>
  <si>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</si>
  <si>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</si>
  <si>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</si>
  <si>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</si>
  <si>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</si>
  <si>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</si>
  <si>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</si>
  <si>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</si>
  <si>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</si>
  <si>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</si>
  <si>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</si>
  <si>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</si>
  <si>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</si>
  <si>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</si>
  <si>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</si>
  <si>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</si>
  <si>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</si>
  <si>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</si>
  <si>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</si>
  <si>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</si>
  <si>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</si>
  <si>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</si>
  <si>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</si>
  <si>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</si>
  <si>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</si>
  <si>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</si>
  <si>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</si>
  <si>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</si>
  <si>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</si>
  <si>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</si>
  <si>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</si>
  <si>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</si>
  <si>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</si>
  <si>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</si>
  <si>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</si>
  <si>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</si>
  <si>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</si>
  <si>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</si>
  <si>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</si>
  <si>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</si>
  <si>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</si>
  <si>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</si>
  <si>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</si>
  <si>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</si>
  <si>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</si>
  <si>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</si>
  <si>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</si>
  <si>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</si>
  <si>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</si>
  <si>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</si>
  <si>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</si>
  <si>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</si>
  <si>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</si>
  <si>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</si>
  <si>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</si>
  <si>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</si>
  <si>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</si>
  <si>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</si>
  <si>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</si>
  <si>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</si>
  <si>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</si>
  <si>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</si>
  <si>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</si>
  <si>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</si>
  <si>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</si>
  <si>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</si>
  <si>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</si>
  <si>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</si>
  <si>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</si>
  <si>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</si>
  <si>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</si>
  <si>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</si>
  <si>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</si>
  <si>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</si>
  <si>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</si>
  <si>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</si>
  <si>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</si>
  <si>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</si>
  <si>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</si>
  <si>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</si>
  <si>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</si>
  <si>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</si>
  <si>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</si>
  <si>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</si>
  <si>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</si>
  <si>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</si>
  <si>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</si>
  <si>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</si>
  <si>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</si>
  <si>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</si>
  <si>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</si>
  <si>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</si>
  <si>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</si>
  <si>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</si>
  <si>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</si>
  <si>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</si>
  <si>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</si>
  <si>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</si>
  <si>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</si>
  <si>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</si>
  <si>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</si>
  <si>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</si>
  <si>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</si>
  <si>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</si>
  <si>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</si>
  <si>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</si>
  <si>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</si>
  <si>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</si>
  <si>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</si>
  <si>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</si>
  <si>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</si>
  <si>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</si>
  <si>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</si>
  <si>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</si>
  <si>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</si>
  <si>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</si>
  <si>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</si>
  <si>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</si>
  <si>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</si>
  <si>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</si>
  <si>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</si>
  <si>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</si>
  <si>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</si>
  <si>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</si>
  <si>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</si>
  <si>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</si>
  <si>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</si>
  <si>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</si>
  <si>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</si>
  <si>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</si>
  <si>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</si>
  <si>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</si>
  <si>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</si>
  <si>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</si>
  <si>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</si>
  <si>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</si>
  <si>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</si>
  <si>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</si>
  <si>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</si>
  <si>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</si>
  <si>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</si>
  <si>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</si>
  <si>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</si>
  <si>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</si>
  <si>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</si>
  <si>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</si>
  <si>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</si>
  <si>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</si>
  <si>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</si>
  <si>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</si>
  <si>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</si>
  <si>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</si>
  <si>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</si>
  <si>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</si>
  <si>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</si>
  <si>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</si>
  <si>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</si>
  <si>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</si>
  <si>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</si>
  <si>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</si>
  <si>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</si>
  <si>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</si>
  <si>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</si>
  <si>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</si>
  <si>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</si>
  <si>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</si>
  <si>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</si>
  <si>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</si>
  <si>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</si>
  <si>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</si>
  <si>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</si>
  <si>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</si>
  <si>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</si>
  <si>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</si>
  <si>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</si>
  <si>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</si>
  <si>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</si>
  <si>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</si>
  <si>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</si>
  <si>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</si>
  <si>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</si>
  <si>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</si>
  <si>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</si>
  <si>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</si>
  <si>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</si>
  <si>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</si>
  <si>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</si>
  <si>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</si>
  <si>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</si>
  <si>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</si>
  <si>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</si>
  <si>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</si>
  <si>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</si>
  <si>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</si>
  <si>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</si>
  <si>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</si>
  <si>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</si>
  <si>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</si>
  <si>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</si>
  <si>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</si>
  <si>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</si>
  <si>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</si>
  <si>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</si>
  <si>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</si>
  <si>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</si>
  <si>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</si>
  <si>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</si>
  <si>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</si>
  <si>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</si>
  <si>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</si>
  <si>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</si>
  <si>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</si>
  <si>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</si>
  <si>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</si>
  <si>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</si>
  <si>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</si>
  <si>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</si>
  <si>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</si>
  <si>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</si>
  <si>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</si>
  <si>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</si>
  <si>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</si>
  <si>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</si>
  <si>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</si>
  <si>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</si>
  <si>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</si>
  <si>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</si>
  <si>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</si>
  <si>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</si>
  <si>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</si>
  <si>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</si>
  <si>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</si>
  <si>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</si>
  <si>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</si>
  <si>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</si>
  <si>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</si>
  <si>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Mack &amp; Associates, P.C.</t>
  </si>
  <si>
    <t>x</t>
  </si>
  <si>
    <t>LaSalle</t>
  </si>
  <si>
    <t>400 S. Lane Street</t>
  </si>
  <si>
    <t>Ransom</t>
  </si>
  <si>
    <t>mpbaima@ransomgradeschool.net</t>
  </si>
  <si>
    <t>Mary Pat Baima</t>
  </si>
  <si>
    <t>815-586-4611</t>
  </si>
  <si>
    <t>815-586-4306</t>
  </si>
  <si>
    <t>Tawnya Mack, CPA</t>
  </si>
  <si>
    <t>116 E Washington St. Suite One</t>
  </si>
  <si>
    <t>Morris</t>
  </si>
  <si>
    <t>IL</t>
  </si>
  <si>
    <t>815-942-3306</t>
  </si>
  <si>
    <t>815-942-9430</t>
  </si>
  <si>
    <t>066-005100</t>
  </si>
  <si>
    <t>tmack@mackcpas.com</t>
  </si>
  <si>
    <t>See PDF in Opinion Page with signature</t>
  </si>
  <si>
    <t>Working Cash Bond 2018</t>
  </si>
  <si>
    <t>X</t>
  </si>
  <si>
    <t>SHARED PROFESSIONAL DEVELOPMENT THROUGH ROE</t>
  </si>
  <si>
    <t>FOX RIVER FOODS THROUGH ROE</t>
  </si>
  <si>
    <t>LEASE FOR SPECIAL EDUCATION</t>
  </si>
  <si>
    <t>SHARE SOCIAL WORKING</t>
  </si>
  <si>
    <t>ILLINOIS CENTRAL SCHOOL BUS</t>
  </si>
  <si>
    <t>ST. MICHAEL'S SCHOOL-ATHLETIC PROGRAM</t>
  </si>
  <si>
    <t>Page 7, Line 43 - Debt Services &amp; Transportation - Transfers not classified elsewhere</t>
  </si>
  <si>
    <t>Page 8, Line 75 - Educational - Transfers not classified elsewhere</t>
  </si>
  <si>
    <t>Page 9, Line 17 - Educational - Livingston County 1% sales tax</t>
  </si>
  <si>
    <t>Page 11, Line 107 - Educational - Miscellaneous receipts and reimbursements</t>
  </si>
  <si>
    <t>Page 11, Line 107 - O&amp;M - Miscellaneous receipts and reimbursements</t>
  </si>
  <si>
    <t>Page 12, Line 168 - Educational - Maintanence Grant</t>
  </si>
  <si>
    <t>Page 16, Line 83 - Other payments to in-state govt. - LEASE Administrative payments</t>
  </si>
  <si>
    <t>Page 18, Line 171 - Other objects - Bond agent fees</t>
  </si>
  <si>
    <t>O&amp;M - O&amp;M PLANT - PURCHASED SERVICES</t>
  </si>
  <si>
    <t>SHERI LEROY</t>
  </si>
  <si>
    <t>WAHL TO WALL CLEANING</t>
  </si>
  <si>
    <t>IFIBER</t>
  </si>
  <si>
    <t>TWAPT, INC</t>
  </si>
  <si>
    <t>TRANS - PUPIL TRANSPORT - PURCHASED SERVICES</t>
  </si>
  <si>
    <t>TRANS - SPEC ED TRANSPORT - PURCHASED SERVICES</t>
  </si>
  <si>
    <t>Allen-Otter Creek CCSD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</si>
</sst>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2052</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2052</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35050065004</v>
      </c>
      <c r="B13" s="2087"/>
      <c r="C13" s="2087"/>
      <c r="D13" s="2087"/>
      <c r="E13" s="2087"/>
      <c r="F13" s="2087"/>
      <c r="G13" s="2087"/>
      <c r="H13" s="2088"/>
      <c r="I13" s="31"/>
      <c r="J13" s="30"/>
      <c r="K13" s="28"/>
      <c r="L13" s="30"/>
      <c r="M13" s="30"/>
      <c r="N13" s="30"/>
      <c r="O13" s="30"/>
      <c r="P13" s="30"/>
      <c r="Q13" s="30"/>
      <c r="R13" s="30"/>
      <c r="S13" s="30"/>
      <c r="T13" s="2091" t="s">
        <v>2051</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2053</v>
      </c>
      <c r="B15" s="2089"/>
      <c r="C15" s="2089"/>
      <c r="D15" s="2089"/>
      <c r="E15" s="2089"/>
      <c r="F15" s="2089"/>
      <c r="G15" s="2089"/>
      <c r="H15" s="2090"/>
      <c r="T15" s="2052" t="s">
        <v>2060</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2092</v>
      </c>
      <c r="B17" s="2114"/>
      <c r="C17" s="2114"/>
      <c r="D17" s="2114"/>
      <c r="E17" s="2114"/>
      <c r="F17" s="2114"/>
      <c r="G17" s="2114"/>
      <c r="H17" s="2115"/>
      <c r="T17" s="2101" t="s">
        <v>2061</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2054</v>
      </c>
      <c r="B19" s="2085"/>
      <c r="C19" s="2085"/>
      <c r="D19" s="2085"/>
      <c r="E19" s="2085"/>
      <c r="F19" s="2085"/>
      <c r="G19" s="2085"/>
      <c r="H19" s="2083"/>
      <c r="I19" s="30"/>
      <c r="J19" s="96"/>
      <c r="K19" s="40"/>
      <c r="L19" s="38"/>
      <c r="M19" s="109" t="s">
        <v>312</v>
      </c>
      <c r="P19" s="27"/>
      <c r="Q19" s="27"/>
      <c r="R19" s="27"/>
      <c r="S19" s="31"/>
      <c r="T19" s="2084" t="s">
        <v>2062</v>
      </c>
      <c r="U19" s="2082"/>
      <c r="V19" s="2082"/>
      <c r="W19" s="2083"/>
      <c r="X19" s="2099" t="s">
        <v>2063</v>
      </c>
      <c r="Y19" s="2100"/>
      <c r="Z19" s="2097">
        <v>60450</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2055</v>
      </c>
      <c r="B21" s="2082"/>
      <c r="C21" s="2082"/>
      <c r="D21" s="2082"/>
      <c r="E21" s="2082"/>
      <c r="F21" s="2082"/>
      <c r="G21" s="2082"/>
      <c r="H21" s="2083"/>
      <c r="I21" s="2107" t="s">
        <v>673</v>
      </c>
      <c r="J21" s="2070"/>
      <c r="K21" s="2070"/>
      <c r="L21" s="2070"/>
      <c r="M21" s="2070"/>
      <c r="N21" s="2070"/>
      <c r="O21" s="2070"/>
      <c r="P21" s="2070"/>
      <c r="Q21" s="2070"/>
      <c r="R21" s="2070"/>
      <c r="S21" s="2071"/>
      <c r="T21" s="2049" t="s">
        <v>2064</v>
      </c>
      <c r="U21" s="2050"/>
      <c r="V21" s="2050"/>
      <c r="W21" s="2050"/>
      <c r="X21" s="2063" t="s">
        <v>2065</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2056</v>
      </c>
      <c r="B23" s="2105"/>
      <c r="C23" s="2105"/>
      <c r="D23" s="2105"/>
      <c r="E23" s="2105"/>
      <c r="F23" s="2105"/>
      <c r="G23" s="2105"/>
      <c r="H23" s="2106"/>
      <c r="T23" s="2044" t="s">
        <v>2066</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60470</v>
      </c>
      <c r="B25" s="2082"/>
      <c r="C25" s="2082"/>
      <c r="D25" s="2082"/>
      <c r="E25" s="2082"/>
      <c r="F25" s="2082"/>
      <c r="G25" s="2082"/>
      <c r="H25" s="2083"/>
      <c r="I25" s="110"/>
      <c r="J25" s="2148"/>
      <c r="K25" s="2148"/>
      <c r="L25" s="2148"/>
      <c r="M25" s="2148"/>
      <c r="N25" s="2148"/>
      <c r="O25" s="2148"/>
      <c r="P25" s="2148"/>
      <c r="Q25" s="2148"/>
      <c r="R25" s="2148"/>
      <c r="S25" s="2149"/>
      <c r="T25" s="2041" t="s">
        <v>2067</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2052</v>
      </c>
      <c r="M29" s="40" t="s">
        <v>99</v>
      </c>
      <c r="N29" s="32" t="s">
        <v>1506</v>
      </c>
      <c r="O29" s="32"/>
      <c r="P29" s="32"/>
      <c r="Q29" s="32"/>
      <c r="R29" s="32"/>
      <c r="S29" s="120"/>
      <c r="T29" s="6"/>
      <c r="U29" s="6"/>
      <c r="V29" s="6"/>
      <c r="W29" s="6"/>
      <c r="X29" s="6"/>
      <c r="Y29" s="6"/>
      <c r="Z29" s="6"/>
      <c r="AA29" s="129"/>
    </row>
    <row r="30" spans="1:27" ht="13.5" customHeight="1" x14ac:dyDescent="0.2">
      <c r="A30" s="149"/>
      <c r="B30" s="133" t="s">
        <v>2052</v>
      </c>
      <c r="C30" s="121" t="s">
        <v>1154</v>
      </c>
      <c r="D30" s="28"/>
      <c r="E30" s="28"/>
      <c r="F30" s="136"/>
      <c r="G30" s="111"/>
      <c r="H30" s="111"/>
      <c r="I30" s="51"/>
      <c r="J30" s="99"/>
      <c r="K30" s="28" t="s">
        <v>572</v>
      </c>
      <c r="L30" s="144" t="s">
        <v>2052</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2052</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2057</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2056</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2058</v>
      </c>
      <c r="B42" s="2131"/>
      <c r="C42" s="2132"/>
      <c r="D42" s="2145" t="s">
        <v>2059</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t="s">
        <v>2052</v>
      </c>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2052</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2051</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2068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N107" sqref="N10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52674020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1.4187E-2</v>
      </c>
      <c r="E10" s="333" t="s">
        <v>998</v>
      </c>
      <c r="F10" s="332">
        <v>2.9979999999999998E-3</v>
      </c>
      <c r="G10" s="333" t="s">
        <v>998</v>
      </c>
      <c r="H10" s="332">
        <v>1.196E-3</v>
      </c>
      <c r="I10" s="333" t="s">
        <v>999</v>
      </c>
      <c r="J10" s="1424">
        <f>ROUND(D10+F10+H10,5)</f>
        <v>1.8380000000000001E-2</v>
      </c>
      <c r="K10" s="217"/>
      <c r="L10" s="332">
        <v>4.9700000000000005E-4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1453301</v>
      </c>
      <c r="E16" s="1547"/>
      <c r="F16" s="1546">
        <f>SUM('Acct Summary 7-8'!C17,'Acct Summary 7-8'!D17,'Acct Summary 7-8'!F17)</f>
        <v>1558681</v>
      </c>
      <c r="G16" s="1547"/>
      <c r="H16" s="1546">
        <f>SUM(D16-F16)</f>
        <v>-105380</v>
      </c>
      <c r="I16" s="1548"/>
      <c r="J16" s="1546">
        <f>SUM('Acct Summary 7-8'!C81,'Acct Summary 7-8'!D81,'Acct Summary 7-8'!F81,'Acct Summary 7-8'!I81)</f>
        <v>620997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2052</v>
      </c>
      <c r="C31" s="344" t="s">
        <v>582</v>
      </c>
      <c r="D31" s="232" t="s">
        <v>1063</v>
      </c>
      <c r="E31" s="217"/>
      <c r="F31" s="217"/>
      <c r="G31" s="340"/>
      <c r="H31" s="1425">
        <f>IF(B31="X",(J7*0.069),IF(B32="X",(J7*0.138),"Enter x in a.or b."))</f>
        <v>3634507.3800000004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Allen-Otter Creek CCSD 65</v>
      </c>
      <c r="E7" s="368"/>
      <c r="G7" s="247"/>
      <c r="H7" s="364"/>
      <c r="I7" s="364"/>
      <c r="J7" s="364"/>
      <c r="K7" s="364"/>
      <c r="L7" s="307"/>
      <c r="M7" s="307"/>
      <c r="N7" s="307"/>
      <c r="O7" s="307"/>
      <c r="P7" s="307"/>
    </row>
    <row r="8" spans="1:18" ht="12.75" x14ac:dyDescent="0.2">
      <c r="A8" s="307"/>
      <c r="B8" s="307"/>
      <c r="C8" s="366" t="s">
        <v>1115</v>
      </c>
      <c r="D8" s="369">
        <f>COVER!A13</f>
        <v>35050065004</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620997</v>
      </c>
      <c r="I12" s="380"/>
      <c r="J12" s="380"/>
      <c r="K12" s="1559">
        <f>TRUNC((H12/H13*100000),5)/100000</f>
        <v>0.42730102019999999</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1453301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1558681</v>
      </c>
      <c r="I17" s="380"/>
      <c r="J17" s="389"/>
      <c r="K17" s="1559">
        <f>TRUNC((H17/H18*100000),5)/100000</f>
        <v>1.0725107875</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1453301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4.5138252000000003</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620997</v>
      </c>
      <c r="I24" s="394"/>
      <c r="J24" s="394"/>
      <c r="K24" s="1555">
        <f>TRUNC(((H24/H25*100000)/100000),2)</f>
        <v>143.41999999999999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4329.6694399999997</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822926.21446000005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105000</v>
      </c>
      <c r="I32" s="392"/>
      <c r="J32" s="392"/>
      <c r="K32" s="1555">
        <f>TRUNC(100-((((H32/H33*100))*100)/100),2)</f>
        <v>97.11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3634507.3800000004</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B42" sqref="B4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219281</v>
      </c>
      <c r="D4" s="1573">
        <v>109777</v>
      </c>
      <c r="E4" s="1573">
        <v>2924</v>
      </c>
      <c r="F4" s="1573">
        <v>54725</v>
      </c>
      <c r="G4" s="1573">
        <v>39190</v>
      </c>
      <c r="H4" s="1573"/>
      <c r="I4" s="1573">
        <v>237214</v>
      </c>
      <c r="J4" s="1574">
        <v>71203</v>
      </c>
      <c r="K4" s="1573">
        <v>27656</v>
      </c>
      <c r="L4" s="1573">
        <v>15168</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219281</v>
      </c>
      <c r="D13" s="1587">
        <f t="shared" ref="D13:L13" si="0">SUM(D4:D12)</f>
        <v>109777</v>
      </c>
      <c r="E13" s="1587">
        <f t="shared" si="0"/>
        <v>2924</v>
      </c>
      <c r="F13" s="1587">
        <f t="shared" si="0"/>
        <v>54725</v>
      </c>
      <c r="G13" s="1587">
        <f t="shared" si="0"/>
        <v>39190</v>
      </c>
      <c r="H13" s="1587">
        <f t="shared" si="0"/>
        <v>0</v>
      </c>
      <c r="I13" s="1587">
        <f t="shared" si="0"/>
        <v>237214</v>
      </c>
      <c r="J13" s="1587">
        <f t="shared" si="0"/>
        <v>71203</v>
      </c>
      <c r="K13" s="1587">
        <f t="shared" si="0"/>
        <v>27656</v>
      </c>
      <c r="L13" s="1587">
        <f t="shared" si="0"/>
        <v>15168</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201200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650500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46415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55065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2924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102076</v>
      </c>
    </row>
    <row r="23" spans="1:14" ht="13.5" customHeight="1" thickBot="1" x14ac:dyDescent="0.25">
      <c r="A23" s="1426" t="s">
        <v>638</v>
      </c>
      <c r="B23" s="1429"/>
      <c r="C23" s="1575"/>
      <c r="D23" s="1575"/>
      <c r="E23" s="1575"/>
      <c r="F23" s="1575"/>
      <c r="G23" s="1575"/>
      <c r="H23" s="1575"/>
      <c r="I23" s="1575"/>
      <c r="J23" s="1575"/>
      <c r="K23" s="1575"/>
      <c r="L23" s="1575"/>
      <c r="M23" s="1594">
        <f>SUM(M15:M22)</f>
        <v>953180</v>
      </c>
      <c r="N23" s="1594">
        <f>SUM(N21:N22)</f>
        <v>105000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15168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15168</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105000</v>
      </c>
    </row>
    <row r="37" spans="1:14" ht="13.5" thickBot="1" x14ac:dyDescent="0.25">
      <c r="A37" s="1426" t="s">
        <v>648</v>
      </c>
      <c r="B37" s="1429"/>
      <c r="C37" s="1582"/>
      <c r="D37" s="1582"/>
      <c r="E37" s="1582"/>
      <c r="F37" s="1582"/>
      <c r="G37" s="1582"/>
      <c r="H37" s="1582"/>
      <c r="I37" s="1582"/>
      <c r="J37" s="1582"/>
      <c r="K37" s="1582"/>
      <c r="L37" s="1585"/>
      <c r="M37" s="1575"/>
      <c r="N37" s="1594">
        <f>SUM(N36:N36)</f>
        <v>105000</v>
      </c>
    </row>
    <row r="38" spans="1:14" s="307" customFormat="1" ht="13.5" customHeight="1" thickTop="1" x14ac:dyDescent="0.2">
      <c r="A38" s="438" t="s">
        <v>417</v>
      </c>
      <c r="B38" s="432">
        <v>714</v>
      </c>
      <c r="C38" s="1573">
        <v>179055</v>
      </c>
      <c r="D38" s="1573"/>
      <c r="E38" s="1573"/>
      <c r="F38" s="1573"/>
      <c r="G38" s="1573">
        <v>39190</v>
      </c>
      <c r="H38" s="1573"/>
      <c r="I38" s="1573"/>
      <c r="J38" s="1574"/>
      <c r="K38" s="1573"/>
      <c r="L38" s="1586"/>
      <c r="M38" s="1604"/>
      <c r="N38" s="1604"/>
    </row>
    <row r="39" spans="1:14" s="307" customFormat="1" ht="13.5" customHeight="1" x14ac:dyDescent="0.2">
      <c r="A39" s="438" t="s">
        <v>339</v>
      </c>
      <c r="B39" s="432">
        <v>730</v>
      </c>
      <c r="C39" s="1573">
        <v>40226</v>
      </c>
      <c r="D39" s="1573">
        <v>109777</v>
      </c>
      <c r="E39" s="1573">
        <v>2924</v>
      </c>
      <c r="F39" s="1573">
        <v>54725</v>
      </c>
      <c r="G39" s="1573"/>
      <c r="H39" s="1573"/>
      <c r="I39" s="1573">
        <v>237214</v>
      </c>
      <c r="J39" s="1574">
        <v>71203</v>
      </c>
      <c r="K39" s="1573">
        <v>27656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953180</v>
      </c>
      <c r="N40" s="1604"/>
    </row>
    <row r="41" spans="1:14" ht="13.5" customHeight="1" thickBot="1" x14ac:dyDescent="0.25">
      <c r="A41" s="1426" t="s">
        <v>650</v>
      </c>
      <c r="B41" s="1405"/>
      <c r="C41" s="1594">
        <f>(SUM(C34,C37,C38,C39))</f>
        <v>219281</v>
      </c>
      <c r="D41" s="1594">
        <f t="shared" ref="D41:L41" si="2">SUM(D34,D37,D38:D39)</f>
        <v>109777</v>
      </c>
      <c r="E41" s="1594">
        <f t="shared" si="2"/>
        <v>2924</v>
      </c>
      <c r="F41" s="1594">
        <f t="shared" si="2"/>
        <v>54725</v>
      </c>
      <c r="G41" s="1594">
        <f t="shared" si="2"/>
        <v>39190</v>
      </c>
      <c r="H41" s="1594">
        <f t="shared" si="2"/>
        <v>0</v>
      </c>
      <c r="I41" s="1594">
        <f t="shared" si="2"/>
        <v>237214</v>
      </c>
      <c r="J41" s="1594">
        <f t="shared" si="2"/>
        <v>71203</v>
      </c>
      <c r="K41" s="1594">
        <f t="shared" si="2"/>
        <v>27656</v>
      </c>
      <c r="L41" s="1594">
        <f t="shared" si="2"/>
        <v>15168</v>
      </c>
      <c r="M41" s="1594">
        <f>SUM(M40)</f>
        <v>953180</v>
      </c>
      <c r="N41" s="1594">
        <f>SUM(N37)</f>
        <v>105000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5" activePane="bottomLeft" state="frozen"/>
      <selection pane="bottomLeft" activeCell="C76" sqref="C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868172</v>
      </c>
      <c r="D4" s="1606">
        <f>'Revenues 9-14'!D109</f>
        <v>194161</v>
      </c>
      <c r="E4" s="1606">
        <f>'Revenues 9-14'!E109</f>
        <v>37843</v>
      </c>
      <c r="F4" s="1606">
        <f>'Revenues 9-14'!F109</f>
        <v>61096</v>
      </c>
      <c r="G4" s="1606">
        <f>'Revenues 9-14'!G109</f>
        <v>42504</v>
      </c>
      <c r="H4" s="1606">
        <f>'Revenues 9-14'!H109</f>
        <v>0</v>
      </c>
      <c r="I4" s="1606">
        <f>'Revenues 9-14'!I109</f>
        <v>25544</v>
      </c>
      <c r="J4" s="1606">
        <f>'Revenues 9-14'!J109</f>
        <v>40945</v>
      </c>
      <c r="K4" s="1606">
        <f>'Revenues 9-14'!K109</f>
        <v>25501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134378</v>
      </c>
      <c r="D6" s="1607">
        <f>'Revenues 9-14'!D170</f>
        <v>0</v>
      </c>
      <c r="E6" s="1607">
        <f>'Revenues 9-14'!E170</f>
        <v>0</v>
      </c>
      <c r="F6" s="1607">
        <f>'Revenues 9-14'!F170</f>
        <v>87887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82063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1084613</v>
      </c>
      <c r="D8" s="1594">
        <f t="shared" ref="D8:K8" si="0">SUM(D4:D7)</f>
        <v>194161</v>
      </c>
      <c r="E8" s="1594">
        <f t="shared" si="0"/>
        <v>37843</v>
      </c>
      <c r="F8" s="1594">
        <f t="shared" si="0"/>
        <v>148983</v>
      </c>
      <c r="G8" s="1594">
        <f t="shared" si="0"/>
        <v>42504</v>
      </c>
      <c r="H8" s="1594">
        <f t="shared" si="0"/>
        <v>0</v>
      </c>
      <c r="I8" s="1594">
        <f t="shared" si="0"/>
        <v>25544</v>
      </c>
      <c r="J8" s="1594">
        <f t="shared" si="0"/>
        <v>40945</v>
      </c>
      <c r="K8" s="1594">
        <f t="shared" si="0"/>
        <v>25501</v>
      </c>
      <c r="L8" s="325"/>
    </row>
    <row r="9" spans="1:13" ht="15.75" thickTop="1" x14ac:dyDescent="0.2">
      <c r="A9" s="449" t="s">
        <v>1634</v>
      </c>
      <c r="B9" s="450">
        <v>3998</v>
      </c>
      <c r="C9" s="1586">
        <v>89615</v>
      </c>
      <c r="D9" s="1613"/>
      <c r="E9" s="1586"/>
      <c r="F9" s="1586"/>
      <c r="G9" s="1614"/>
      <c r="H9" s="1586"/>
      <c r="I9" s="1609" t="s">
        <v>1159</v>
      </c>
      <c r="J9" s="1583"/>
      <c r="K9" s="1586"/>
      <c r="L9" s="325"/>
    </row>
    <row r="10" spans="1:13" s="452" customFormat="1" ht="13.5" thickBot="1" x14ac:dyDescent="0.25">
      <c r="A10" s="1426" t="s">
        <v>1163</v>
      </c>
      <c r="B10" s="1407"/>
      <c r="C10" s="1594">
        <f>SUM(C8:C9)</f>
        <v>1174228</v>
      </c>
      <c r="D10" s="1594">
        <f t="shared" ref="D10:K10" si="1">SUM(D8:D9)</f>
        <v>194161</v>
      </c>
      <c r="E10" s="1594">
        <f t="shared" si="1"/>
        <v>37843</v>
      </c>
      <c r="F10" s="1594">
        <f t="shared" si="1"/>
        <v>148983</v>
      </c>
      <c r="G10" s="1594">
        <f t="shared" si="1"/>
        <v>42504</v>
      </c>
      <c r="H10" s="1594">
        <f t="shared" si="1"/>
        <v>0</v>
      </c>
      <c r="I10" s="1594">
        <f t="shared" si="1"/>
        <v>25544</v>
      </c>
      <c r="J10" s="1594">
        <f t="shared" si="1"/>
        <v>40945</v>
      </c>
      <c r="K10" s="1594">
        <f t="shared" si="1"/>
        <v>25501</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871657</v>
      </c>
      <c r="D12" s="1616" t="s">
        <v>1159</v>
      </c>
      <c r="E12" s="1575" t="s">
        <v>1159</v>
      </c>
      <c r="F12" s="1575" t="s">
        <v>1159</v>
      </c>
      <c r="G12" s="1606">
        <f>'Expenditures 15-22'!K229</f>
        <v>13300</v>
      </c>
      <c r="H12" s="1617"/>
      <c r="I12" s="1575" t="s">
        <v>1159</v>
      </c>
      <c r="J12" s="1575" t="s">
        <v>1159</v>
      </c>
      <c r="K12" s="1617" t="s">
        <v>1159</v>
      </c>
      <c r="L12" s="325"/>
    </row>
    <row r="13" spans="1:13" ht="15.75" customHeight="1" x14ac:dyDescent="0.2">
      <c r="A13" s="1314" t="s">
        <v>454</v>
      </c>
      <c r="B13" s="1316">
        <v>2000</v>
      </c>
      <c r="C13" s="1607">
        <f>'Expenditures 15-22'!K74</f>
        <v>321818</v>
      </c>
      <c r="D13" s="1607">
        <f>'Expenditures 15-22'!K129</f>
        <v>146255</v>
      </c>
      <c r="E13" s="1576" t="s">
        <v>1159</v>
      </c>
      <c r="F13" s="1607">
        <f>'Expenditures 15-22'!K184</f>
        <v>137090</v>
      </c>
      <c r="G13" s="1607">
        <f>'Expenditures 15-22'!K279</f>
        <v>15049</v>
      </c>
      <c r="H13" s="1607">
        <f>'Expenditures 15-22'!K303</f>
        <v>0</v>
      </c>
      <c r="I13" s="1575" t="s">
        <v>1159</v>
      </c>
      <c r="J13" s="1607">
        <f>'Expenditures 15-22'!K330</f>
        <v>33710</v>
      </c>
      <c r="K13" s="1618">
        <f>'Expenditures 15-22'!K352</f>
        <v>28295</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81861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105025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1275336</v>
      </c>
      <c r="D17" s="1594">
        <f t="shared" si="2"/>
        <v>146255</v>
      </c>
      <c r="E17" s="1594">
        <f t="shared" si="2"/>
        <v>105025</v>
      </c>
      <c r="F17" s="1594">
        <f t="shared" si="2"/>
        <v>137090</v>
      </c>
      <c r="G17" s="1594">
        <f t="shared" si="2"/>
        <v>28349</v>
      </c>
      <c r="H17" s="1594">
        <f t="shared" si="2"/>
        <v>0</v>
      </c>
      <c r="I17" s="1575"/>
      <c r="J17" s="1594">
        <f>SUM(J12:J16)</f>
        <v>33710</v>
      </c>
      <c r="K17" s="1594">
        <f>SUM(K12:K16)</f>
        <v>28295</v>
      </c>
      <c r="L17" s="325"/>
    </row>
    <row r="18" spans="1:12" ht="15" customHeight="1" thickTop="1" x14ac:dyDescent="0.2">
      <c r="A18" s="1430" t="s">
        <v>1635</v>
      </c>
      <c r="B18" s="1431">
        <v>4180</v>
      </c>
      <c r="C18" s="1606">
        <f t="shared" ref="C18:H18" si="3">C9</f>
        <v>89615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1364951</v>
      </c>
      <c r="D19" s="1594">
        <f t="shared" si="4"/>
        <v>146255</v>
      </c>
      <c r="E19" s="1594">
        <f t="shared" si="4"/>
        <v>105025</v>
      </c>
      <c r="F19" s="1594">
        <f t="shared" si="4"/>
        <v>137090</v>
      </c>
      <c r="G19" s="1594">
        <f t="shared" si="4"/>
        <v>28349</v>
      </c>
      <c r="H19" s="1594">
        <f t="shared" si="4"/>
        <v>0</v>
      </c>
      <c r="I19" s="1575"/>
      <c r="J19" s="1594">
        <f>SUM(J17:J18)</f>
        <v>33710</v>
      </c>
      <c r="K19" s="1594">
        <f>SUM(K17:K18)</f>
        <v>28295</v>
      </c>
      <c r="L19" s="325"/>
    </row>
    <row r="20" spans="1:12" ht="16.5" thickTop="1" thickBot="1" x14ac:dyDescent="0.25">
      <c r="A20" s="2231" t="s">
        <v>1636</v>
      </c>
      <c r="B20" s="2232"/>
      <c r="C20" s="1622">
        <f>C8-C17</f>
        <v>-190723</v>
      </c>
      <c r="D20" s="1622">
        <f t="shared" ref="D20:K20" si="5">D8-D17</f>
        <v>47906</v>
      </c>
      <c r="E20" s="1622">
        <f t="shared" si="5"/>
        <v>-67182</v>
      </c>
      <c r="F20" s="1622">
        <f t="shared" si="5"/>
        <v>11893</v>
      </c>
      <c r="G20" s="1622">
        <f t="shared" si="5"/>
        <v>14155</v>
      </c>
      <c r="H20" s="1622">
        <f t="shared" si="5"/>
        <v>0</v>
      </c>
      <c r="I20" s="1622">
        <f t="shared" si="5"/>
        <v>25544</v>
      </c>
      <c r="J20" s="1622">
        <f t="shared" si="5"/>
        <v>7235</v>
      </c>
      <c r="K20" s="1622">
        <f t="shared" si="5"/>
        <v>-2794</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11000</v>
      </c>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v>620</v>
      </c>
      <c r="F43" s="1574">
        <v>10000</v>
      </c>
      <c r="G43" s="1574"/>
      <c r="H43" s="1574"/>
      <c r="I43" s="1574"/>
      <c r="J43" s="1574"/>
      <c r="K43" s="1574"/>
      <c r="L43" s="453"/>
    </row>
    <row r="44" spans="1:12" s="433" customFormat="1" ht="13.5" customHeight="1" thickBot="1" x14ac:dyDescent="0.25">
      <c r="A44" s="2245" t="s">
        <v>371</v>
      </c>
      <c r="B44" s="2246"/>
      <c r="C44" s="1624">
        <f>SUM(C24:C43)</f>
        <v>11000</v>
      </c>
      <c r="D44" s="1624">
        <f t="shared" ref="D44:K44" si="6">SUM(D24:D43)</f>
        <v>0</v>
      </c>
      <c r="E44" s="1624">
        <f t="shared" si="6"/>
        <v>620</v>
      </c>
      <c r="F44" s="1624">
        <f t="shared" si="6"/>
        <v>10000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11000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v>10620</v>
      </c>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10620</v>
      </c>
      <c r="D76" s="1624">
        <f t="shared" si="7"/>
        <v>0</v>
      </c>
      <c r="E76" s="1624">
        <f t="shared" si="7"/>
        <v>0</v>
      </c>
      <c r="F76" s="1624">
        <f t="shared" si="7"/>
        <v>0</v>
      </c>
      <c r="G76" s="1624">
        <f t="shared" si="7"/>
        <v>0</v>
      </c>
      <c r="H76" s="1624">
        <f t="shared" si="7"/>
        <v>0</v>
      </c>
      <c r="I76" s="1624">
        <f t="shared" si="7"/>
        <v>11000</v>
      </c>
      <c r="J76" s="1624">
        <f t="shared" si="7"/>
        <v>0</v>
      </c>
      <c r="K76" s="1624">
        <f t="shared" si="7"/>
        <v>0</v>
      </c>
      <c r="L76" s="453"/>
    </row>
    <row r="77" spans="1:12" ht="14.25" thickTop="1" thickBot="1" x14ac:dyDescent="0.25">
      <c r="A77" s="2223" t="s">
        <v>1167</v>
      </c>
      <c r="B77" s="2224"/>
      <c r="C77" s="1624">
        <f t="shared" ref="C77:K77" si="8">C44-C76</f>
        <v>380</v>
      </c>
      <c r="D77" s="1624">
        <f t="shared" si="8"/>
        <v>0</v>
      </c>
      <c r="E77" s="1624">
        <f t="shared" si="8"/>
        <v>620</v>
      </c>
      <c r="F77" s="1624">
        <f t="shared" si="8"/>
        <v>10000</v>
      </c>
      <c r="G77" s="1624">
        <f t="shared" si="8"/>
        <v>0</v>
      </c>
      <c r="H77" s="1624">
        <f t="shared" si="8"/>
        <v>0</v>
      </c>
      <c r="I77" s="1624">
        <f t="shared" si="8"/>
        <v>-11000</v>
      </c>
      <c r="J77" s="1624">
        <f t="shared" si="8"/>
        <v>0</v>
      </c>
      <c r="K77" s="1624">
        <f t="shared" si="8"/>
        <v>0</v>
      </c>
      <c r="L77" s="325"/>
    </row>
    <row r="78" spans="1:12" ht="21.75" customHeight="1" thickTop="1" thickBot="1" x14ac:dyDescent="0.25">
      <c r="A78" s="2227" t="s">
        <v>593</v>
      </c>
      <c r="B78" s="2228"/>
      <c r="C78" s="1629">
        <f t="shared" ref="C78:K78" si="9">C20+C77</f>
        <v>-190343</v>
      </c>
      <c r="D78" s="1629">
        <f t="shared" si="9"/>
        <v>47906</v>
      </c>
      <c r="E78" s="1629">
        <f t="shared" si="9"/>
        <v>-66562</v>
      </c>
      <c r="F78" s="1629">
        <f t="shared" si="9"/>
        <v>21893</v>
      </c>
      <c r="G78" s="1629">
        <f t="shared" si="9"/>
        <v>14155</v>
      </c>
      <c r="H78" s="1629">
        <f t="shared" si="9"/>
        <v>0</v>
      </c>
      <c r="I78" s="1629">
        <f t="shared" si="9"/>
        <v>14544</v>
      </c>
      <c r="J78" s="1629">
        <f t="shared" si="9"/>
        <v>7235</v>
      </c>
      <c r="K78" s="1629">
        <f t="shared" si="9"/>
        <v>-2794</v>
      </c>
      <c r="L78" s="457"/>
    </row>
    <row r="79" spans="1:12" ht="13.5" thickTop="1" x14ac:dyDescent="0.2">
      <c r="A79" s="1844" t="str">
        <f>"Fund Balances - July 1, "&amp;'AFR20'!E2-1</f>
        <v>Fund Balances - July 1, 2019</v>
      </c>
      <c r="B79" s="458"/>
      <c r="C79" s="1583">
        <v>409624</v>
      </c>
      <c r="D79" s="1630">
        <v>61871</v>
      </c>
      <c r="E79" s="1630">
        <v>69486</v>
      </c>
      <c r="F79" s="1630">
        <v>32832</v>
      </c>
      <c r="G79" s="1630">
        <v>25035</v>
      </c>
      <c r="H79" s="1630"/>
      <c r="I79" s="1630">
        <v>222670</v>
      </c>
      <c r="J79" s="1630">
        <v>63968</v>
      </c>
      <c r="K79" s="1630">
        <v>30450</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219281</v>
      </c>
      <c r="D81" s="1594">
        <f>SUM(D78:D80)</f>
        <v>109777</v>
      </c>
      <c r="E81" s="1594">
        <f t="shared" ref="E81:K81" si="10">SUM(E78:E80)</f>
        <v>2924</v>
      </c>
      <c r="F81" s="1594">
        <f t="shared" si="10"/>
        <v>54725</v>
      </c>
      <c r="G81" s="1594">
        <f t="shared" si="10"/>
        <v>39190</v>
      </c>
      <c r="H81" s="1594">
        <f t="shared" si="10"/>
        <v>0</v>
      </c>
      <c r="I81" s="1594">
        <f t="shared" si="10"/>
        <v>237214</v>
      </c>
      <c r="J81" s="1594">
        <f t="shared" si="10"/>
        <v>71203</v>
      </c>
      <c r="K81" s="1594">
        <f t="shared" si="10"/>
        <v>27656</v>
      </c>
      <c r="L81" s="325"/>
    </row>
    <row r="82" spans="1:12" ht="0.75" customHeight="1" thickTop="1" thickBot="1" x14ac:dyDescent="0.25">
      <c r="A82" s="459" t="s">
        <v>340</v>
      </c>
      <c r="B82" s="460"/>
      <c r="C82" s="461">
        <f>(C81-C79)</f>
        <v>-190343</v>
      </c>
      <c r="D82" s="461">
        <f t="shared" ref="D82:K82" si="11">(D81-D79)</f>
        <v>47906</v>
      </c>
      <c r="E82" s="461">
        <f t="shared" si="11"/>
        <v>-66562</v>
      </c>
      <c r="F82" s="461">
        <f t="shared" si="11"/>
        <v>21893</v>
      </c>
      <c r="G82" s="461">
        <f t="shared" si="11"/>
        <v>14155</v>
      </c>
      <c r="H82" s="461">
        <f t="shared" si="11"/>
        <v>0</v>
      </c>
      <c r="I82" s="461">
        <f t="shared" si="11"/>
        <v>14544</v>
      </c>
      <c r="J82" s="461">
        <f t="shared" si="11"/>
        <v>7235</v>
      </c>
      <c r="K82" s="461">
        <f t="shared" si="11"/>
        <v>-2794</v>
      </c>
    </row>
    <row r="83" spans="1:12" ht="14.25" hidden="1" thickTop="1" thickBot="1" x14ac:dyDescent="0.25">
      <c r="A83" s="462" t="s">
        <v>341</v>
      </c>
      <c r="B83" s="428"/>
      <c r="C83" s="463">
        <f>C82/C81</f>
        <v>-0.86803234206337987</v>
      </c>
      <c r="D83" s="463">
        <f t="shared" ref="D83:K83" si="12">D82/D81</f>
        <v>0.43639378011787533</v>
      </c>
      <c r="E83" s="463">
        <f t="shared" si="12"/>
        <v>-22.764021887824896</v>
      </c>
      <c r="F83" s="463">
        <f t="shared" si="12"/>
        <v>0.40005481955230698</v>
      </c>
      <c r="G83" s="463">
        <f t="shared" si="12"/>
        <v>0.36118907884664453</v>
      </c>
      <c r="H83" s="463" t="e">
        <f t="shared" si="12"/>
        <v>#DIV/0!</v>
      </c>
      <c r="I83" s="463">
        <f t="shared" si="12"/>
        <v>6.1311726963838561E-2</v>
      </c>
      <c r="J83" s="463">
        <f t="shared" si="12"/>
        <v>0.10161088718171987</v>
      </c>
      <c r="K83" s="463">
        <f t="shared" si="12"/>
        <v>-0.10102690193809662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4" activePane="bottomLeft" state="frozen"/>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722070</v>
      </c>
      <c r="D5" s="1586">
        <v>193722</v>
      </c>
      <c r="E5" s="1573">
        <v>37760</v>
      </c>
      <c r="F5" s="1631">
        <v>61019</v>
      </c>
      <c r="G5" s="1573">
        <v>20386</v>
      </c>
      <c r="H5" s="1573"/>
      <c r="I5" s="1573">
        <v>25425</v>
      </c>
      <c r="J5" s="1574">
        <v>40767</v>
      </c>
      <c r="K5" s="1573">
        <v>25425</v>
      </c>
    </row>
    <row r="6" spans="1:12" ht="15" x14ac:dyDescent="0.2">
      <c r="A6" s="427" t="s">
        <v>1643</v>
      </c>
      <c r="B6" s="429">
        <v>1130</v>
      </c>
      <c r="C6" s="1573">
        <v>10170</v>
      </c>
      <c r="D6" s="1573"/>
      <c r="E6" s="1580"/>
      <c r="F6" s="1580"/>
      <c r="G6" s="1575"/>
      <c r="H6" s="1575"/>
      <c r="I6" s="1575"/>
      <c r="J6" s="1575"/>
      <c r="K6" s="1575"/>
    </row>
    <row r="7" spans="1:12" x14ac:dyDescent="0.2">
      <c r="A7" s="427" t="s">
        <v>110</v>
      </c>
      <c r="B7" s="471">
        <v>1140</v>
      </c>
      <c r="C7" s="1573">
        <v>10195</v>
      </c>
      <c r="D7" s="1573"/>
      <c r="E7" s="1575"/>
      <c r="F7" s="1574"/>
      <c r="G7" s="1574"/>
      <c r="H7" s="1574"/>
      <c r="I7" s="1575"/>
      <c r="J7" s="1575"/>
      <c r="K7" s="1575"/>
    </row>
    <row r="8" spans="1:12" x14ac:dyDescent="0.2">
      <c r="A8" s="427" t="s">
        <v>410</v>
      </c>
      <c r="B8" s="429">
        <v>1150</v>
      </c>
      <c r="C8" s="1580"/>
      <c r="D8" s="1580"/>
      <c r="E8" s="1582"/>
      <c r="F8" s="1582"/>
      <c r="G8" s="1586">
        <v>22080</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742435</v>
      </c>
      <c r="D12" s="1633">
        <f t="shared" si="0"/>
        <v>193722</v>
      </c>
      <c r="E12" s="1633">
        <f t="shared" si="0"/>
        <v>37760</v>
      </c>
      <c r="F12" s="1633">
        <f t="shared" si="0"/>
        <v>61019</v>
      </c>
      <c r="G12" s="1633">
        <f t="shared" si="0"/>
        <v>42466</v>
      </c>
      <c r="H12" s="1633">
        <f t="shared" si="0"/>
        <v>0</v>
      </c>
      <c r="I12" s="1633">
        <f t="shared" si="0"/>
        <v>25425</v>
      </c>
      <c r="J12" s="1633">
        <f t="shared" si="0"/>
        <v>40767</v>
      </c>
      <c r="K12" s="1594">
        <f t="shared" si="0"/>
        <v>25425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69701</v>
      </c>
      <c r="D16" s="1573"/>
      <c r="E16" s="1573"/>
      <c r="F16" s="1573"/>
      <c r="G16" s="1573"/>
      <c r="H16" s="1573"/>
      <c r="I16" s="1573"/>
      <c r="J16" s="1574"/>
      <c r="K16" s="1573"/>
    </row>
    <row r="17" spans="1:11" ht="12.75" customHeight="1" x14ac:dyDescent="0.2">
      <c r="A17" s="427" t="s">
        <v>802</v>
      </c>
      <c r="B17" s="429">
        <v>1290</v>
      </c>
      <c r="C17" s="1632">
        <v>2454</v>
      </c>
      <c r="D17" s="1573"/>
      <c r="E17" s="1573"/>
      <c r="F17" s="1573"/>
      <c r="G17" s="1573"/>
      <c r="H17" s="1573"/>
      <c r="I17" s="1573"/>
      <c r="J17" s="1574"/>
      <c r="K17" s="1573"/>
    </row>
    <row r="18" spans="1:11" ht="12.75" customHeight="1" thickBot="1" x14ac:dyDescent="0.25">
      <c r="A18" s="1406" t="s">
        <v>534</v>
      </c>
      <c r="B18" s="1407"/>
      <c r="C18" s="1635">
        <f>SUM(C14:C17)</f>
        <v>72155</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500</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500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11915</v>
      </c>
      <c r="D65" s="1573">
        <v>274</v>
      </c>
      <c r="E65" s="1573">
        <v>83</v>
      </c>
      <c r="F65" s="1574">
        <v>77</v>
      </c>
      <c r="G65" s="1573">
        <v>38</v>
      </c>
      <c r="H65" s="1573"/>
      <c r="I65" s="1573">
        <v>119</v>
      </c>
      <c r="J65" s="1574">
        <v>178</v>
      </c>
      <c r="K65" s="1573">
        <v>76</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11915</v>
      </c>
      <c r="D67" s="1594">
        <f t="shared" ref="D67:K67" si="2">SUM(D65:D66)</f>
        <v>274</v>
      </c>
      <c r="E67" s="1594">
        <f t="shared" si="2"/>
        <v>83</v>
      </c>
      <c r="F67" s="1594">
        <f t="shared" si="2"/>
        <v>77</v>
      </c>
      <c r="G67" s="1594">
        <f t="shared" si="2"/>
        <v>38</v>
      </c>
      <c r="H67" s="1594">
        <f t="shared" si="2"/>
        <v>0</v>
      </c>
      <c r="I67" s="1594">
        <f t="shared" si="2"/>
        <v>119</v>
      </c>
      <c r="J67" s="1594">
        <f t="shared" si="2"/>
        <v>178</v>
      </c>
      <c r="K67" s="1594">
        <f t="shared" si="2"/>
        <v>76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11375</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75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11450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1842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840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2682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3461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3461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2894</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20680</v>
      </c>
      <c r="D107" s="1573">
        <v>165</v>
      </c>
      <c r="E107" s="1573"/>
      <c r="F107" s="1573"/>
      <c r="G107" s="1573"/>
      <c r="H107" s="1573"/>
      <c r="I107" s="1573"/>
      <c r="J107" s="1574"/>
      <c r="K107" s="1573"/>
    </row>
    <row r="108" spans="1:12" ht="12.75" customHeight="1" thickBot="1" x14ac:dyDescent="0.25">
      <c r="A108" s="1406" t="s">
        <v>484</v>
      </c>
      <c r="B108" s="1408"/>
      <c r="C108" s="1633">
        <f>SUM(C95:C107)</f>
        <v>23574</v>
      </c>
      <c r="D108" s="1633">
        <f t="shared" ref="D108:K108" si="3">SUM(D95:D107)</f>
        <v>165</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868172</v>
      </c>
      <c r="D109" s="1641">
        <f t="shared" si="4"/>
        <v>194161</v>
      </c>
      <c r="E109" s="1641">
        <f t="shared" si="4"/>
        <v>37843</v>
      </c>
      <c r="F109" s="1641">
        <f t="shared" si="4"/>
        <v>61096</v>
      </c>
      <c r="G109" s="1641">
        <f t="shared" si="4"/>
        <v>42504</v>
      </c>
      <c r="H109" s="1641">
        <f t="shared" si="4"/>
        <v>0</v>
      </c>
      <c r="I109" s="1641">
        <f t="shared" si="4"/>
        <v>25544</v>
      </c>
      <c r="J109" s="1641">
        <f t="shared" si="4"/>
        <v>40945</v>
      </c>
      <c r="K109" s="1629">
        <f t="shared" si="4"/>
        <v>25501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62564</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62564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32071</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32071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243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41436</v>
      </c>
      <c r="G152" s="1574"/>
      <c r="H152" s="1575"/>
      <c r="I152" s="1575"/>
      <c r="J152" s="1575"/>
      <c r="K152" s="1575"/>
    </row>
    <row r="153" spans="1:11" ht="12.75" customHeight="1" x14ac:dyDescent="0.2">
      <c r="A153" s="427" t="s">
        <v>1048</v>
      </c>
      <c r="B153" s="478">
        <v>3510</v>
      </c>
      <c r="C153" s="1632"/>
      <c r="D153" s="1573"/>
      <c r="E153" s="1640"/>
      <c r="F153" s="1573">
        <v>46451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87887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39500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71814</v>
      </c>
      <c r="D169" s="1658">
        <f t="shared" si="6"/>
        <v>0</v>
      </c>
      <c r="E169" s="1658">
        <f t="shared" si="6"/>
        <v>0</v>
      </c>
      <c r="F169" s="1658">
        <f t="shared" si="6"/>
        <v>87887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134378</v>
      </c>
      <c r="D170" s="1641">
        <f t="shared" si="7"/>
        <v>0</v>
      </c>
      <c r="E170" s="1641">
        <f t="shared" si="7"/>
        <v>0</v>
      </c>
      <c r="F170" s="1641">
        <f t="shared" si="7"/>
        <v>87887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13394</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13394</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17494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4453</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21947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12663</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12663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7300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7300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19953</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19953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1923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4883</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82063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82063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1084613</v>
      </c>
      <c r="D268" s="1641">
        <f t="shared" si="12"/>
        <v>194161</v>
      </c>
      <c r="E268" s="1641">
        <f t="shared" si="12"/>
        <v>37843</v>
      </c>
      <c r="F268" s="1641">
        <f t="shared" si="12"/>
        <v>148983</v>
      </c>
      <c r="G268" s="1641">
        <f t="shared" si="12"/>
        <v>42504</v>
      </c>
      <c r="H268" s="1641">
        <f t="shared" si="12"/>
        <v>0</v>
      </c>
      <c r="I268" s="1641">
        <f t="shared" si="12"/>
        <v>25544</v>
      </c>
      <c r="J268" s="1641">
        <f t="shared" si="12"/>
        <v>40945</v>
      </c>
      <c r="K268" s="1629">
        <f t="shared" si="12"/>
        <v>25501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9" activePane="bottomLeft" state="frozen"/>
      <selection pane="bottomLeft" activeCell="H349" sqref="H3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547514</v>
      </c>
      <c r="D5" s="1573">
        <v>55677</v>
      </c>
      <c r="E5" s="1573">
        <v>46112</v>
      </c>
      <c r="F5" s="1573">
        <v>19284</v>
      </c>
      <c r="G5" s="1573"/>
      <c r="H5" s="1573">
        <v>1260</v>
      </c>
      <c r="I5" s="1574"/>
      <c r="J5" s="1574"/>
      <c r="K5" s="1672">
        <f>SUM(C5:J5)</f>
        <v>669847</v>
      </c>
      <c r="L5" s="1573">
        <v>655617</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76895</v>
      </c>
      <c r="D8" s="1573">
        <v>6218</v>
      </c>
      <c r="E8" s="1573">
        <v>3205</v>
      </c>
      <c r="F8" s="1573">
        <v>3331</v>
      </c>
      <c r="G8" s="1573"/>
      <c r="H8" s="1573">
        <v>79812</v>
      </c>
      <c r="I8" s="1574"/>
      <c r="J8" s="1574"/>
      <c r="K8" s="1672">
        <f t="shared" si="0"/>
        <v>169461</v>
      </c>
      <c r="L8" s="1573">
        <v>89302</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12803</v>
      </c>
      <c r="D14" s="1573">
        <v>7</v>
      </c>
      <c r="E14" s="1573">
        <v>4283</v>
      </c>
      <c r="F14" s="1573">
        <v>2144</v>
      </c>
      <c r="G14" s="1573"/>
      <c r="H14" s="1573">
        <v>3480</v>
      </c>
      <c r="I14" s="1574"/>
      <c r="J14" s="1574"/>
      <c r="K14" s="1672">
        <f t="shared" si="0"/>
        <v>22717</v>
      </c>
      <c r="L14" s="1573">
        <v>22720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9632</v>
      </c>
      <c r="I22" s="1673"/>
      <c r="J22" s="1582"/>
      <c r="K22" s="1672">
        <f t="shared" si="0"/>
        <v>9632</v>
      </c>
      <c r="L22" s="1577">
        <v>89444</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637212</v>
      </c>
      <c r="D33" s="1674">
        <f t="shared" ref="D33:L33" si="1">SUM(D5:D32)</f>
        <v>61902</v>
      </c>
      <c r="E33" s="1674">
        <f t="shared" si="1"/>
        <v>53600</v>
      </c>
      <c r="F33" s="1674">
        <f t="shared" si="1"/>
        <v>24759</v>
      </c>
      <c r="G33" s="1674">
        <f t="shared" si="1"/>
        <v>0</v>
      </c>
      <c r="H33" s="1674">
        <f t="shared" si="1"/>
        <v>94184</v>
      </c>
      <c r="I33" s="1674">
        <f t="shared" si="1"/>
        <v>0</v>
      </c>
      <c r="J33" s="1674">
        <f t="shared" si="1"/>
        <v>0</v>
      </c>
      <c r="K33" s="1674">
        <f t="shared" si="1"/>
        <v>871657</v>
      </c>
      <c r="L33" s="1674">
        <f t="shared" si="1"/>
        <v>857083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v>1000</v>
      </c>
      <c r="D39" s="1573"/>
      <c r="E39" s="1573"/>
      <c r="F39" s="1573"/>
      <c r="G39" s="1573"/>
      <c r="H39" s="1573"/>
      <c r="I39" s="1574"/>
      <c r="J39" s="1574"/>
      <c r="K39" s="1672">
        <f t="shared" si="2"/>
        <v>1000</v>
      </c>
      <c r="L39" s="1573">
        <v>1000</v>
      </c>
    </row>
    <row r="40" spans="1:14" x14ac:dyDescent="0.2">
      <c r="A40" s="1274" t="s">
        <v>198</v>
      </c>
      <c r="B40" s="503">
        <v>2150</v>
      </c>
      <c r="C40" s="1573">
        <v>44200</v>
      </c>
      <c r="D40" s="1573"/>
      <c r="E40" s="1573"/>
      <c r="F40" s="1573"/>
      <c r="G40" s="1573"/>
      <c r="H40" s="1573"/>
      <c r="I40" s="1574"/>
      <c r="J40" s="1574"/>
      <c r="K40" s="1672">
        <f t="shared" si="2"/>
        <v>44200</v>
      </c>
      <c r="L40" s="1573">
        <v>44200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45200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45200</v>
      </c>
      <c r="L42" s="1674">
        <f t="shared" si="3"/>
        <v>45200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1105</v>
      </c>
      <c r="E44" s="1586">
        <v>3771</v>
      </c>
      <c r="F44" s="1586"/>
      <c r="G44" s="1586"/>
      <c r="H44" s="1586"/>
      <c r="I44" s="1574"/>
      <c r="J44" s="1574"/>
      <c r="K44" s="1678">
        <f>SUM(C44:J44)</f>
        <v>4876</v>
      </c>
      <c r="L44" s="1586">
        <v>4776</v>
      </c>
    </row>
    <row r="45" spans="1:14" x14ac:dyDescent="0.2">
      <c r="A45" s="1274" t="s">
        <v>810</v>
      </c>
      <c r="B45" s="503">
        <v>2220</v>
      </c>
      <c r="C45" s="1573"/>
      <c r="D45" s="1573"/>
      <c r="E45" s="1573"/>
      <c r="F45" s="1573"/>
      <c r="G45" s="1573"/>
      <c r="H45" s="1573"/>
      <c r="I45" s="1574"/>
      <c r="J45" s="1574"/>
      <c r="K45" s="1678">
        <f>SUM(C45:J45)</f>
        <v>0</v>
      </c>
      <c r="L45" s="1573">
        <v>3461</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1105</v>
      </c>
      <c r="E47" s="1674">
        <f t="shared" si="4"/>
        <v>3771</v>
      </c>
      <c r="F47" s="1674">
        <f t="shared" si="4"/>
        <v>0</v>
      </c>
      <c r="G47" s="1674">
        <f t="shared" si="4"/>
        <v>0</v>
      </c>
      <c r="H47" s="1674">
        <f t="shared" si="4"/>
        <v>0</v>
      </c>
      <c r="I47" s="1674">
        <f t="shared" si="4"/>
        <v>0</v>
      </c>
      <c r="J47" s="1674">
        <f t="shared" si="4"/>
        <v>0</v>
      </c>
      <c r="K47" s="1674">
        <f t="shared" si="4"/>
        <v>4876</v>
      </c>
      <c r="L47" s="1674">
        <f>SUM(L44:L46)</f>
        <v>8237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16252</v>
      </c>
      <c r="F49" s="1586">
        <v>2393</v>
      </c>
      <c r="G49" s="1586"/>
      <c r="H49" s="1586">
        <v>3268</v>
      </c>
      <c r="I49" s="1574"/>
      <c r="J49" s="1574"/>
      <c r="K49" s="1678">
        <f>SUM(C49:J49)</f>
        <v>21913</v>
      </c>
      <c r="L49" s="1586">
        <v>21543</v>
      </c>
    </row>
    <row r="50" spans="1:14" x14ac:dyDescent="0.2">
      <c r="A50" s="1274" t="s">
        <v>813</v>
      </c>
      <c r="B50" s="503">
        <v>2320</v>
      </c>
      <c r="C50" s="1573">
        <v>59187</v>
      </c>
      <c r="D50" s="1573">
        <v>1096</v>
      </c>
      <c r="E50" s="1573">
        <v>11938</v>
      </c>
      <c r="F50" s="1573">
        <v>3118</v>
      </c>
      <c r="G50" s="1573">
        <v>1703</v>
      </c>
      <c r="H50" s="1573">
        <v>2705</v>
      </c>
      <c r="I50" s="1574"/>
      <c r="J50" s="1574"/>
      <c r="K50" s="1678">
        <f>SUM(C50:J50)</f>
        <v>79747</v>
      </c>
      <c r="L50" s="1573">
        <v>78855</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59187</v>
      </c>
      <c r="D53" s="1674">
        <f t="shared" ref="D53:L53" si="5">SUM(D49:D52)</f>
        <v>1096</v>
      </c>
      <c r="E53" s="1674">
        <f t="shared" si="5"/>
        <v>28190</v>
      </c>
      <c r="F53" s="1674">
        <f t="shared" si="5"/>
        <v>5511</v>
      </c>
      <c r="G53" s="1674">
        <f t="shared" si="5"/>
        <v>1703</v>
      </c>
      <c r="H53" s="1674">
        <f t="shared" si="5"/>
        <v>5973</v>
      </c>
      <c r="I53" s="1674">
        <f t="shared" si="5"/>
        <v>0</v>
      </c>
      <c r="J53" s="1674">
        <f t="shared" si="5"/>
        <v>0</v>
      </c>
      <c r="K53" s="1674">
        <f t="shared" si="5"/>
        <v>101660</v>
      </c>
      <c r="L53" s="1674">
        <f t="shared" si="5"/>
        <v>100398</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73044</v>
      </c>
      <c r="D55" s="1586">
        <v>1096</v>
      </c>
      <c r="E55" s="1586"/>
      <c r="F55" s="1586"/>
      <c r="G55" s="1586"/>
      <c r="H55" s="1586"/>
      <c r="I55" s="1574"/>
      <c r="J55" s="1574"/>
      <c r="K55" s="1678">
        <f>SUM(C55:J55)</f>
        <v>74140</v>
      </c>
      <c r="L55" s="1586">
        <v>74144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73044</v>
      </c>
      <c r="D57" s="1679">
        <f t="shared" ref="D57:K57" si="6">SUM(D55:D56)</f>
        <v>1096</v>
      </c>
      <c r="E57" s="1679">
        <f t="shared" si="6"/>
        <v>0</v>
      </c>
      <c r="F57" s="1679">
        <f t="shared" si="6"/>
        <v>0</v>
      </c>
      <c r="G57" s="1679">
        <f t="shared" si="6"/>
        <v>0</v>
      </c>
      <c r="H57" s="1679">
        <f t="shared" si="6"/>
        <v>0</v>
      </c>
      <c r="I57" s="1679">
        <f t="shared" si="6"/>
        <v>0</v>
      </c>
      <c r="J57" s="1679">
        <f t="shared" si="6"/>
        <v>0</v>
      </c>
      <c r="K57" s="1679">
        <f t="shared" si="6"/>
        <v>74140</v>
      </c>
      <c r="L57" s="1674">
        <f>SUM(L55:L56)</f>
        <v>74144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39726</v>
      </c>
      <c r="D60" s="1573"/>
      <c r="E60" s="1573"/>
      <c r="F60" s="1573"/>
      <c r="G60" s="1573"/>
      <c r="H60" s="1573"/>
      <c r="I60" s="1574"/>
      <c r="J60" s="1574"/>
      <c r="K60" s="1678">
        <f t="shared" si="7"/>
        <v>39726</v>
      </c>
      <c r="L60" s="1573">
        <v>39800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25792</v>
      </c>
      <c r="D63" s="1573"/>
      <c r="E63" s="1573">
        <v>762</v>
      </c>
      <c r="F63" s="1573">
        <v>28080</v>
      </c>
      <c r="G63" s="1573">
        <v>918</v>
      </c>
      <c r="H63" s="1573">
        <v>64</v>
      </c>
      <c r="I63" s="1574"/>
      <c r="J63" s="1574"/>
      <c r="K63" s="1678">
        <f t="shared" si="7"/>
        <v>55616</v>
      </c>
      <c r="L63" s="1573">
        <v>56083</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65518</v>
      </c>
      <c r="D65" s="1674">
        <f t="shared" ref="D65:L65" si="8">SUM(D59:D64)</f>
        <v>0</v>
      </c>
      <c r="E65" s="1674">
        <f t="shared" si="8"/>
        <v>762</v>
      </c>
      <c r="F65" s="1674">
        <f t="shared" si="8"/>
        <v>28080</v>
      </c>
      <c r="G65" s="1674">
        <f t="shared" si="8"/>
        <v>918</v>
      </c>
      <c r="H65" s="1674">
        <f t="shared" si="8"/>
        <v>64</v>
      </c>
      <c r="I65" s="1674">
        <f t="shared" si="8"/>
        <v>0</v>
      </c>
      <c r="J65" s="1674">
        <f t="shared" si="8"/>
        <v>0</v>
      </c>
      <c r="K65" s="1674">
        <f t="shared" si="8"/>
        <v>95342</v>
      </c>
      <c r="L65" s="1674">
        <f t="shared" si="8"/>
        <v>95883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v>600</v>
      </c>
      <c r="G73" s="1649"/>
      <c r="H73" s="1649"/>
      <c r="I73" s="1627"/>
      <c r="J73" s="1627"/>
      <c r="K73" s="1674">
        <f>SUM(C73:J73)</f>
        <v>600</v>
      </c>
      <c r="L73" s="1651"/>
      <c r="M73" s="501"/>
      <c r="N73" s="501"/>
    </row>
    <row r="74" spans="1:14" ht="12.75" customHeight="1" thickTop="1" thickBot="1" x14ac:dyDescent="0.25">
      <c r="A74" s="1380" t="s">
        <v>806</v>
      </c>
      <c r="B74" s="1384">
        <v>2000</v>
      </c>
      <c r="C74" s="1681">
        <f>SUM(C42,C47,C53,C57,C65,C72,C73)</f>
        <v>242949</v>
      </c>
      <c r="D74" s="1681">
        <f t="shared" ref="D74:K74" si="10">SUM(D42,D47,D53,D57,D65,D72,D73)</f>
        <v>3297</v>
      </c>
      <c r="E74" s="1681">
        <f t="shared" si="10"/>
        <v>32723</v>
      </c>
      <c r="F74" s="1681">
        <f t="shared" si="10"/>
        <v>34191</v>
      </c>
      <c r="G74" s="1681">
        <f t="shared" si="10"/>
        <v>2621</v>
      </c>
      <c r="H74" s="1681">
        <f t="shared" si="10"/>
        <v>6037</v>
      </c>
      <c r="I74" s="1681">
        <f t="shared" si="10"/>
        <v>0</v>
      </c>
      <c r="J74" s="1681">
        <f t="shared" si="10"/>
        <v>0</v>
      </c>
      <c r="K74" s="1681">
        <f t="shared" si="10"/>
        <v>321818</v>
      </c>
      <c r="L74" s="1681">
        <f>SUM(L42,L47,L53,L57,L65,L72,L73)</f>
        <v>323862</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52369</v>
      </c>
      <c r="F79" s="1673"/>
      <c r="G79" s="1673"/>
      <c r="H79" s="1573"/>
      <c r="I79" s="1582"/>
      <c r="J79" s="1582"/>
      <c r="K79" s="1672">
        <f t="shared" si="11"/>
        <v>52369</v>
      </c>
      <c r="L79" s="1573">
        <v>53000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29492</v>
      </c>
      <c r="F83" s="1673"/>
      <c r="G83" s="1673"/>
      <c r="H83" s="1573"/>
      <c r="I83" s="1582"/>
      <c r="J83" s="1582"/>
      <c r="K83" s="1672">
        <f t="shared" si="11"/>
        <v>29492</v>
      </c>
      <c r="L83" s="1573">
        <v>29492</v>
      </c>
    </row>
    <row r="84" spans="1:12" ht="13.5" thickBot="1" x14ac:dyDescent="0.25">
      <c r="A84" s="1380" t="s">
        <v>1468</v>
      </c>
      <c r="B84" s="1385">
        <v>4100</v>
      </c>
      <c r="C84" s="1673"/>
      <c r="D84" s="1673"/>
      <c r="E84" s="1674">
        <f>SUM(E78:E83)</f>
        <v>81861</v>
      </c>
      <c r="F84" s="1673"/>
      <c r="G84" s="1673"/>
      <c r="H84" s="1674">
        <f>SUM(H78:H83)</f>
        <v>0</v>
      </c>
      <c r="I84" s="1582"/>
      <c r="J84" s="1582"/>
      <c r="K84" s="1674">
        <f>SUM(K78:K83)</f>
        <v>81861</v>
      </c>
      <c r="L84" s="1674">
        <f>SUM(L78:L83)</f>
        <v>82492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81861</v>
      </c>
      <c r="F102" s="1673"/>
      <c r="G102" s="1673"/>
      <c r="H102" s="1681">
        <f>SUM(H84,H92,H100,H101)</f>
        <v>0</v>
      </c>
      <c r="I102" s="1582"/>
      <c r="J102" s="1582"/>
      <c r="K102" s="1681">
        <f>SUM(K84,K92,K100,K101)</f>
        <v>81861</v>
      </c>
      <c r="L102" s="1681">
        <f>SUM(L84,L92,L100,L101)</f>
        <v>82492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880161</v>
      </c>
      <c r="D114" s="1674">
        <f t="shared" ref="D114:K114" si="13">SUM(D33,D74,D75,D102,D112,D113)</f>
        <v>65199</v>
      </c>
      <c r="E114" s="1674">
        <f t="shared" si="13"/>
        <v>168184</v>
      </c>
      <c r="F114" s="1674">
        <f t="shared" si="13"/>
        <v>58950</v>
      </c>
      <c r="G114" s="1674">
        <f t="shared" si="13"/>
        <v>2621</v>
      </c>
      <c r="H114" s="1674">
        <f>SUM(H33,H74,H75,H102,H112,H113)</f>
        <v>100221</v>
      </c>
      <c r="I114" s="1674">
        <f t="shared" si="13"/>
        <v>0</v>
      </c>
      <c r="J114" s="1674">
        <f t="shared" si="13"/>
        <v>0</v>
      </c>
      <c r="K114" s="1674">
        <f t="shared" si="13"/>
        <v>1275336</v>
      </c>
      <c r="L114" s="1674">
        <f>SUM(L33,L74,L75,L102,L112,L113)</f>
        <v>1263437</v>
      </c>
    </row>
    <row r="115" spans="1:14" ht="13.5" thickTop="1" x14ac:dyDescent="0.2">
      <c r="A115" s="2286" t="s">
        <v>989</v>
      </c>
      <c r="B115" s="2287"/>
      <c r="C115" s="1675"/>
      <c r="D115" s="1675"/>
      <c r="E115" s="1675"/>
      <c r="F115" s="1675"/>
      <c r="G115" s="1675"/>
      <c r="H115" s="1675"/>
      <c r="I115" s="1675"/>
      <c r="J115" s="1675"/>
      <c r="K115" s="1689">
        <f>'Revenues 9-14'!C268-'Expenditures 15-22'!K114</f>
        <v>-190723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26000</v>
      </c>
      <c r="D124" s="1573"/>
      <c r="E124" s="1573">
        <v>80339</v>
      </c>
      <c r="F124" s="1573">
        <v>21826</v>
      </c>
      <c r="G124" s="1573">
        <v>18090</v>
      </c>
      <c r="H124" s="1573"/>
      <c r="I124" s="1574"/>
      <c r="J124" s="1574"/>
      <c r="K124" s="1674">
        <f>SUM(C124:J124)</f>
        <v>146255</v>
      </c>
      <c r="L124" s="1573">
        <v>199100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26000</v>
      </c>
      <c r="D127" s="1674">
        <f t="shared" ref="D127:L127" si="14">SUM(D122:D126)</f>
        <v>0</v>
      </c>
      <c r="E127" s="1674">
        <f t="shared" si="14"/>
        <v>80339</v>
      </c>
      <c r="F127" s="1674">
        <f t="shared" si="14"/>
        <v>21826</v>
      </c>
      <c r="G127" s="1674">
        <f t="shared" si="14"/>
        <v>18090</v>
      </c>
      <c r="H127" s="1674">
        <f t="shared" si="14"/>
        <v>0</v>
      </c>
      <c r="I127" s="1674">
        <f t="shared" si="14"/>
        <v>0</v>
      </c>
      <c r="J127" s="1674">
        <f t="shared" si="14"/>
        <v>0</v>
      </c>
      <c r="K127" s="1674">
        <f t="shared" si="14"/>
        <v>146255</v>
      </c>
      <c r="L127" s="1674">
        <f t="shared" si="14"/>
        <v>199100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26000</v>
      </c>
      <c r="D129" s="1681">
        <f t="shared" ref="D129:L129" si="15">SUM(D120,D127,D128)</f>
        <v>0</v>
      </c>
      <c r="E129" s="1681">
        <f t="shared" si="15"/>
        <v>80339</v>
      </c>
      <c r="F129" s="1681">
        <f t="shared" si="15"/>
        <v>21826</v>
      </c>
      <c r="G129" s="1681">
        <f t="shared" si="15"/>
        <v>18090</v>
      </c>
      <c r="H129" s="1681">
        <f t="shared" si="15"/>
        <v>0</v>
      </c>
      <c r="I129" s="1681">
        <f t="shared" si="15"/>
        <v>0</v>
      </c>
      <c r="J129" s="1681">
        <f t="shared" si="15"/>
        <v>0</v>
      </c>
      <c r="K129" s="1681">
        <f t="shared" si="15"/>
        <v>146255</v>
      </c>
      <c r="L129" s="1681">
        <f t="shared" si="15"/>
        <v>199100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26000</v>
      </c>
      <c r="D151" s="1674">
        <f t="shared" ref="D151:K151" si="16">SUM(D129,D130,D139,D149,D150)</f>
        <v>0</v>
      </c>
      <c r="E151" s="1674">
        <f t="shared" si="16"/>
        <v>80339</v>
      </c>
      <c r="F151" s="1674">
        <f t="shared" si="16"/>
        <v>21826</v>
      </c>
      <c r="G151" s="1674">
        <f t="shared" si="16"/>
        <v>18090</v>
      </c>
      <c r="H151" s="1674">
        <f t="shared" si="16"/>
        <v>0</v>
      </c>
      <c r="I151" s="1674">
        <f t="shared" si="16"/>
        <v>0</v>
      </c>
      <c r="J151" s="1674">
        <f t="shared" si="16"/>
        <v>0</v>
      </c>
      <c r="K151" s="1674">
        <f t="shared" si="16"/>
        <v>146255</v>
      </c>
      <c r="L151" s="1674">
        <f>SUM(L129,L130,L139,L149,L150)</f>
        <v>199100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47906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4525</v>
      </c>
      <c r="I169" s="1673"/>
      <c r="J169" s="1673"/>
      <c r="K169" s="1672">
        <f>SUM(C169:H169)</f>
        <v>4525</v>
      </c>
      <c r="L169" s="1695">
        <v>3866</v>
      </c>
    </row>
    <row r="170" spans="1:14" ht="33.75" customHeight="1" x14ac:dyDescent="0.2">
      <c r="A170" s="543" t="s">
        <v>1651</v>
      </c>
      <c r="B170" s="545" t="s">
        <v>31</v>
      </c>
      <c r="C170" s="1673"/>
      <c r="D170" s="1673"/>
      <c r="E170" s="1673"/>
      <c r="F170" s="1673"/>
      <c r="G170" s="1673"/>
      <c r="H170" s="1646">
        <v>100000</v>
      </c>
      <c r="I170" s="1673"/>
      <c r="J170" s="1673"/>
      <c r="K170" s="1672">
        <f>SUM(C170:J170)</f>
        <v>100000</v>
      </c>
      <c r="L170" s="1646">
        <v>100000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105025</v>
      </c>
      <c r="I172" s="1684"/>
      <c r="J172" s="1673"/>
      <c r="K172" s="1681">
        <f>SUM(K168,K169,K170,K171)</f>
        <v>105025</v>
      </c>
      <c r="L172" s="1681">
        <f>SUM(L168,L169,L170,L171)</f>
        <v>104366</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105025</v>
      </c>
      <c r="I174" s="1684"/>
      <c r="J174" s="1673"/>
      <c r="K174" s="1681">
        <f>SUM(K160,K172,K173)</f>
        <v>105025</v>
      </c>
      <c r="L174" s="1681">
        <f>SUM(L160,L172,L173)</f>
        <v>104366</v>
      </c>
    </row>
    <row r="175" spans="1:14" ht="13.5" thickTop="1" x14ac:dyDescent="0.2">
      <c r="A175" s="2286" t="s">
        <v>989</v>
      </c>
      <c r="B175" s="2287"/>
      <c r="C175" s="1673"/>
      <c r="D175" s="1673"/>
      <c r="E175" s="1673"/>
      <c r="F175" s="1673"/>
      <c r="G175" s="1673"/>
      <c r="H175" s="1675"/>
      <c r="I175" s="1673"/>
      <c r="J175" s="1673"/>
      <c r="K175" s="1689">
        <f>'Revenues 9-14'!E268-'Expenditures 15-22'!K174</f>
        <v>-67182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2900</v>
      </c>
      <c r="D182" s="1573"/>
      <c r="E182" s="1573">
        <v>134190</v>
      </c>
      <c r="F182" s="1573"/>
      <c r="G182" s="1573"/>
      <c r="H182" s="1573"/>
      <c r="I182" s="1574"/>
      <c r="J182" s="1574"/>
      <c r="K182" s="1672">
        <f>SUM(C182:J182)</f>
        <v>137090</v>
      </c>
      <c r="L182" s="1573">
        <v>137494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2900</v>
      </c>
      <c r="D184" s="1681">
        <f t="shared" ref="D184:J184" si="17">SUM(D180,D182,D183)</f>
        <v>0</v>
      </c>
      <c r="E184" s="1681">
        <f t="shared" si="17"/>
        <v>134190</v>
      </c>
      <c r="F184" s="1681">
        <f t="shared" si="17"/>
        <v>0</v>
      </c>
      <c r="G184" s="1681">
        <f t="shared" si="17"/>
        <v>0</v>
      </c>
      <c r="H184" s="1681">
        <f t="shared" si="17"/>
        <v>0</v>
      </c>
      <c r="I184" s="1681">
        <f t="shared" si="17"/>
        <v>0</v>
      </c>
      <c r="J184" s="1681">
        <f t="shared" si="17"/>
        <v>0</v>
      </c>
      <c r="K184" s="1681">
        <f>SUM(K180,K182,K183)</f>
        <v>137090</v>
      </c>
      <c r="L184" s="1681">
        <f>SUM(L180, L182:L183)</f>
        <v>137494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2900</v>
      </c>
      <c r="D210" s="1674">
        <f>SUM(D184,D185)</f>
        <v>0</v>
      </c>
      <c r="E210" s="1674">
        <f>SUM(E184,E185,E196)</f>
        <v>134190</v>
      </c>
      <c r="F210" s="1674">
        <f>SUM(F184,F185)</f>
        <v>0</v>
      </c>
      <c r="G210" s="1674">
        <f>SUM(G184,G185)</f>
        <v>0</v>
      </c>
      <c r="H210" s="1674">
        <f>SUM(H184,H185,H196,H208,H209)</f>
        <v>0</v>
      </c>
      <c r="I210" s="1674">
        <f>SUM(I184,I185)</f>
        <v>0</v>
      </c>
      <c r="J210" s="1674">
        <f>SUM(J184,J185)</f>
        <v>0</v>
      </c>
      <c r="K210" s="1672">
        <f>SUM(K184,K185,K196,K208,K209)</f>
        <v>137090</v>
      </c>
      <c r="L210" s="1674">
        <f>SUM(L184,L185,L196,L208,L209)</f>
        <v>137494</v>
      </c>
    </row>
    <row r="211" spans="1:14" ht="13.5" thickTop="1" x14ac:dyDescent="0.2">
      <c r="A211" s="2286" t="s">
        <v>989</v>
      </c>
      <c r="B211" s="2287"/>
      <c r="C211" s="1675"/>
      <c r="D211" s="1675"/>
      <c r="E211" s="1675"/>
      <c r="F211" s="1675"/>
      <c r="G211" s="1675"/>
      <c r="H211" s="1675"/>
      <c r="I211" s="1673"/>
      <c r="J211" s="1673"/>
      <c r="K211" s="1689">
        <f>'Revenues 9-14'!F268-'Expenditures 15-22'!K210</f>
        <v>11893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7949</v>
      </c>
      <c r="E215" s="1673"/>
      <c r="F215" s="1673"/>
      <c r="G215" s="1673"/>
      <c r="H215" s="1673"/>
      <c r="I215" s="1673"/>
      <c r="J215" s="1673"/>
      <c r="K215" s="1672">
        <f>D215</f>
        <v>7949</v>
      </c>
      <c r="L215" s="1573">
        <v>8000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3931</v>
      </c>
      <c r="E217" s="1673"/>
      <c r="F217" s="1673"/>
      <c r="G217" s="1673"/>
      <c r="H217" s="1673"/>
      <c r="I217" s="1673"/>
      <c r="J217" s="1673"/>
      <c r="K217" s="1672">
        <f t="shared" si="19"/>
        <v>3931</v>
      </c>
      <c r="L217" s="1573">
        <v>3519</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1420</v>
      </c>
      <c r="E223" s="1673"/>
      <c r="F223" s="1673"/>
      <c r="G223" s="1673"/>
      <c r="H223" s="1673"/>
      <c r="I223" s="1673"/>
      <c r="J223" s="1673"/>
      <c r="K223" s="1672">
        <f t="shared" si="19"/>
        <v>1420</v>
      </c>
      <c r="L223" s="1573">
        <v>1421</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13300</v>
      </c>
      <c r="E229" s="1673"/>
      <c r="F229" s="1673"/>
      <c r="G229" s="1673"/>
      <c r="H229" s="1673"/>
      <c r="I229" s="1673"/>
      <c r="J229" s="1673"/>
      <c r="K229" s="1674">
        <f>SUM(K215:K228)</f>
        <v>13300</v>
      </c>
      <c r="L229" s="1674">
        <f>SUM(L215:L228)</f>
        <v>12940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641</v>
      </c>
      <c r="E236" s="1673"/>
      <c r="F236" s="1673"/>
      <c r="G236" s="1673"/>
      <c r="H236" s="1673"/>
      <c r="I236" s="1673"/>
      <c r="J236" s="1673"/>
      <c r="K236" s="1672">
        <f t="shared" si="20"/>
        <v>641</v>
      </c>
      <c r="L236" s="1573">
        <v>641</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641</v>
      </c>
      <c r="E238" s="1673"/>
      <c r="F238" s="1673"/>
      <c r="G238" s="1673"/>
      <c r="H238" s="1673"/>
      <c r="I238" s="1673"/>
      <c r="J238" s="1673"/>
      <c r="K238" s="1674">
        <f>SUM(K232:K237)</f>
        <v>641</v>
      </c>
      <c r="L238" s="1674">
        <f>SUM(L232:L237)</f>
        <v>641</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1062</v>
      </c>
      <c r="E246" s="1673"/>
      <c r="F246" s="1673"/>
      <c r="G246" s="1673"/>
      <c r="H246" s="1673"/>
      <c r="I246" s="1673"/>
      <c r="J246" s="1673"/>
      <c r="K246" s="1678">
        <f t="shared" ref="K246:K256" si="21">D246</f>
        <v>1062</v>
      </c>
      <c r="L246" s="1573">
        <v>1060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1062</v>
      </c>
      <c r="E257" s="1673"/>
      <c r="F257" s="1673"/>
      <c r="G257" s="1673"/>
      <c r="H257" s="1673"/>
      <c r="I257" s="1673"/>
      <c r="J257" s="1673"/>
      <c r="K257" s="1674">
        <f>SUM(K245:K256)</f>
        <v>1062</v>
      </c>
      <c r="L257" s="1674">
        <f>SUM(L245:L256)</f>
        <v>1060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1059</v>
      </c>
      <c r="E259" s="1673"/>
      <c r="F259" s="1673"/>
      <c r="G259" s="1673"/>
      <c r="H259" s="1673"/>
      <c r="I259" s="1673"/>
      <c r="J259" s="1673"/>
      <c r="K259" s="1678">
        <f>D259</f>
        <v>1059</v>
      </c>
      <c r="L259" s="1586">
        <v>1060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1059</v>
      </c>
      <c r="E261" s="1673"/>
      <c r="F261" s="1673"/>
      <c r="G261" s="1673"/>
      <c r="H261" s="1673"/>
      <c r="I261" s="1673"/>
      <c r="J261" s="1673"/>
      <c r="K261" s="1674">
        <f>SUM(K259:K260)</f>
        <v>1059</v>
      </c>
      <c r="L261" s="1674">
        <f>SUM(L259:L260)</f>
        <v>1060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5005</v>
      </c>
      <c r="E264" s="1673"/>
      <c r="F264" s="1673"/>
      <c r="G264" s="1673"/>
      <c r="H264" s="1673"/>
      <c r="I264" s="1673"/>
      <c r="J264" s="1673"/>
      <c r="K264" s="1678">
        <f t="shared" ref="K264:K269" si="22">D264</f>
        <v>5005</v>
      </c>
      <c r="L264" s="1573">
        <v>5010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3835</v>
      </c>
      <c r="E266" s="1673"/>
      <c r="F266" s="1673"/>
      <c r="G266" s="1673"/>
      <c r="H266" s="1673"/>
      <c r="I266" s="1673"/>
      <c r="J266" s="1673"/>
      <c r="K266" s="1678">
        <f t="shared" si="22"/>
        <v>3835</v>
      </c>
      <c r="L266" s="1573">
        <v>3835</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3447</v>
      </c>
      <c r="E268" s="1673"/>
      <c r="F268" s="1673"/>
      <c r="G268" s="1673"/>
      <c r="H268" s="1673"/>
      <c r="I268" s="1673"/>
      <c r="J268" s="1673"/>
      <c r="K268" s="1678">
        <f t="shared" si="22"/>
        <v>3447</v>
      </c>
      <c r="L268" s="1573">
        <v>3464</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12287</v>
      </c>
      <c r="E270" s="1673"/>
      <c r="F270" s="1673"/>
      <c r="G270" s="1673"/>
      <c r="H270" s="1673"/>
      <c r="I270" s="1673"/>
      <c r="J270" s="1673"/>
      <c r="K270" s="1674">
        <f>SUM(K263:K269)</f>
        <v>12287</v>
      </c>
      <c r="L270" s="1674">
        <f>SUM(L263:L269)</f>
        <v>12309</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15049</v>
      </c>
      <c r="E279" s="1673"/>
      <c r="F279" s="1673"/>
      <c r="G279" s="1673"/>
      <c r="H279" s="1673"/>
      <c r="I279" s="1673"/>
      <c r="J279" s="1673"/>
      <c r="K279" s="1681">
        <f>SUM(K238,K243,K257,K261,K270,K277,K278)</f>
        <v>15049</v>
      </c>
      <c r="L279" s="1681">
        <f>SUM(L238,L243,L257,L261,L270,L277,L278)</f>
        <v>15070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28349</v>
      </c>
      <c r="E295" s="1673"/>
      <c r="F295" s="1673"/>
      <c r="G295" s="1673"/>
      <c r="H295" s="1674">
        <f>H293</f>
        <v>0</v>
      </c>
      <c r="I295" s="1673"/>
      <c r="J295" s="1673"/>
      <c r="K295" s="1674">
        <f>SUM(K229,K279,K280,K285,K293,K294)</f>
        <v>28349</v>
      </c>
      <c r="L295" s="1674">
        <f>SUM(L229,L279,L280,L285,L293,L294)</f>
        <v>28010</v>
      </c>
    </row>
    <row r="296" spans="1:14" ht="13.5" thickTop="1" x14ac:dyDescent="0.2">
      <c r="A296" s="2286" t="s">
        <v>989</v>
      </c>
      <c r="B296" s="2287"/>
      <c r="C296" s="1673"/>
      <c r="D296" s="1675"/>
      <c r="E296" s="1673"/>
      <c r="F296" s="1673"/>
      <c r="G296" s="1673"/>
      <c r="H296" s="1707"/>
      <c r="I296" s="1673"/>
      <c r="J296" s="1673"/>
      <c r="K296" s="1689">
        <f>'Revenues 9-14'!G268-'Expenditures 15-22'!K295</f>
        <v>14155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7594</v>
      </c>
      <c r="F320" s="1574"/>
      <c r="G320" s="1574"/>
      <c r="H320" s="1574"/>
      <c r="I320" s="1574"/>
      <c r="J320" s="1574"/>
      <c r="K320" s="1672">
        <f t="shared" ref="K320:K327" si="24">SUM(C320:J320)</f>
        <v>7594</v>
      </c>
      <c r="L320" s="1574">
        <v>7594</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10957</v>
      </c>
      <c r="F325" s="1574"/>
      <c r="G325" s="1574"/>
      <c r="H325" s="1574"/>
      <c r="I325" s="1574"/>
      <c r="J325" s="1574"/>
      <c r="K325" s="1672">
        <f t="shared" si="24"/>
        <v>10957</v>
      </c>
      <c r="L325" s="1574">
        <v>10957</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775</v>
      </c>
      <c r="F327" s="1574"/>
      <c r="G327" s="1574"/>
      <c r="H327" s="1574"/>
      <c r="I327" s="1574"/>
      <c r="J327" s="1574"/>
      <c r="K327" s="1672">
        <f t="shared" si="24"/>
        <v>775</v>
      </c>
      <c r="L327" s="1574">
        <v>775</v>
      </c>
      <c r="M327" s="539"/>
      <c r="N327" s="539"/>
    </row>
    <row r="328" spans="1:14" s="548" customFormat="1" x14ac:dyDescent="0.2">
      <c r="A328" s="1290" t="s">
        <v>469</v>
      </c>
      <c r="B328" s="562" t="s">
        <v>1122</v>
      </c>
      <c r="C328" s="1579"/>
      <c r="D328" s="1579"/>
      <c r="E328" s="1579">
        <v>14384</v>
      </c>
      <c r="F328" s="1579"/>
      <c r="G328" s="1579"/>
      <c r="H328" s="1579"/>
      <c r="I328" s="1579"/>
      <c r="J328" s="1579"/>
      <c r="K328" s="1713">
        <f>SUM(C328:J328)</f>
        <v>14384</v>
      </c>
      <c r="L328" s="1579">
        <v>14384</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33710</v>
      </c>
      <c r="F330" s="1674">
        <f t="shared" si="25"/>
        <v>0</v>
      </c>
      <c r="G330" s="1674">
        <f t="shared" si="25"/>
        <v>0</v>
      </c>
      <c r="H330" s="1674">
        <f t="shared" si="25"/>
        <v>0</v>
      </c>
      <c r="I330" s="1674">
        <f t="shared" si="25"/>
        <v>0</v>
      </c>
      <c r="J330" s="1674">
        <f t="shared" si="25"/>
        <v>0</v>
      </c>
      <c r="K330" s="1674">
        <f>SUM(K319:K329)</f>
        <v>33710</v>
      </c>
      <c r="L330" s="1674">
        <f>SUM(L319:L329)</f>
        <v>33710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33710</v>
      </c>
      <c r="F342" s="1674">
        <f>SUM(F330)</f>
        <v>0</v>
      </c>
      <c r="G342" s="1674">
        <f>SUM(G330)</f>
        <v>0</v>
      </c>
      <c r="H342" s="1674">
        <f>SUM(H330,H334,H340)</f>
        <v>0</v>
      </c>
      <c r="I342" s="1674">
        <f>SUM(I330)</f>
        <v>0</v>
      </c>
      <c r="J342" s="1674">
        <f>SUM(J330)</f>
        <v>0</v>
      </c>
      <c r="K342" s="1674">
        <f>SUM(K330,K334,K340)</f>
        <v>33710</v>
      </c>
      <c r="L342" s="1681">
        <f>SUM(L330,L334,L340,L341)</f>
        <v>33710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7235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28085</v>
      </c>
      <c r="F349" s="1573"/>
      <c r="G349" s="1573">
        <v>210</v>
      </c>
      <c r="H349" s="1573"/>
      <c r="I349" s="1574"/>
      <c r="J349" s="1574"/>
      <c r="K349" s="1672">
        <f>SUM(C349:J349)</f>
        <v>28295</v>
      </c>
      <c r="L349" s="1573"/>
    </row>
    <row r="350" spans="1:14" ht="12.75" customHeight="1" thickBot="1" x14ac:dyDescent="0.25">
      <c r="A350" s="1380" t="s">
        <v>714</v>
      </c>
      <c r="B350" s="1381" t="s">
        <v>35</v>
      </c>
      <c r="C350" s="1674">
        <f>SUM(C348:C349)</f>
        <v>0</v>
      </c>
      <c r="D350" s="1674">
        <f t="shared" ref="D350:L350" si="26">SUM(D348:D349)</f>
        <v>0</v>
      </c>
      <c r="E350" s="1674">
        <f t="shared" si="26"/>
        <v>28085</v>
      </c>
      <c r="F350" s="1674">
        <f t="shared" si="26"/>
        <v>0</v>
      </c>
      <c r="G350" s="1674">
        <f t="shared" si="26"/>
        <v>210</v>
      </c>
      <c r="H350" s="1674">
        <f t="shared" si="26"/>
        <v>0</v>
      </c>
      <c r="I350" s="1674">
        <f t="shared" si="26"/>
        <v>0</v>
      </c>
      <c r="J350" s="1674">
        <f t="shared" si="26"/>
        <v>0</v>
      </c>
      <c r="K350" s="1674">
        <f t="shared" si="26"/>
        <v>28295</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28085</v>
      </c>
      <c r="F352" s="1674">
        <f t="shared" si="27"/>
        <v>0</v>
      </c>
      <c r="G352" s="1674">
        <f t="shared" si="27"/>
        <v>210</v>
      </c>
      <c r="H352" s="1674">
        <f t="shared" si="27"/>
        <v>0</v>
      </c>
      <c r="I352" s="1674">
        <f t="shared" si="27"/>
        <v>0</v>
      </c>
      <c r="J352" s="1674">
        <f t="shared" si="27"/>
        <v>0</v>
      </c>
      <c r="K352" s="1674">
        <f t="shared" si="27"/>
        <v>28295</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28085</v>
      </c>
      <c r="F367" s="1674">
        <f t="shared" si="28"/>
        <v>0</v>
      </c>
      <c r="G367" s="1674">
        <f t="shared" si="28"/>
        <v>210</v>
      </c>
      <c r="H367" s="1674">
        <f t="shared" si="28"/>
        <v>0</v>
      </c>
      <c r="I367" s="1674">
        <f t="shared" si="28"/>
        <v>0</v>
      </c>
      <c r="J367" s="1674">
        <f t="shared" si="28"/>
        <v>0</v>
      </c>
      <c r="K367" s="1674">
        <f t="shared" si="28"/>
        <v>28295</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-2794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722070</v>
      </c>
      <c r="C4" s="1722"/>
      <c r="D4" s="1723">
        <f>B4-C4</f>
        <v>722070</v>
      </c>
      <c r="E4" s="1722">
        <v>747302</v>
      </c>
      <c r="F4" s="1723">
        <f>E4-C4</f>
        <v>747302</v>
      </c>
    </row>
    <row r="5" spans="1:8" ht="13.7" customHeight="1" x14ac:dyDescent="0.2">
      <c r="A5" s="579" t="s">
        <v>865</v>
      </c>
      <c r="B5" s="1724">
        <f>'Revenues 9-14'!D5</f>
        <v>193722</v>
      </c>
      <c r="C5" s="1664"/>
      <c r="D5" s="1725">
        <f t="shared" ref="D5:D18" si="0">B5-C5</f>
        <v>193722</v>
      </c>
      <c r="E5" s="1664">
        <v>157901</v>
      </c>
      <c r="F5" s="1725">
        <f>E5-C5</f>
        <v>157901</v>
      </c>
    </row>
    <row r="6" spans="1:8" ht="13.7" customHeight="1" x14ac:dyDescent="0.2">
      <c r="A6" s="579" t="s">
        <v>408</v>
      </c>
      <c r="B6" s="1724">
        <f>'Revenues 9-14'!E5</f>
        <v>37760</v>
      </c>
      <c r="C6" s="1664"/>
      <c r="D6" s="1725">
        <f t="shared" si="0"/>
        <v>37760</v>
      </c>
      <c r="E6" s="1664">
        <v>106575</v>
      </c>
      <c r="F6" s="1725">
        <f t="shared" ref="F6:F18" si="1">E6-C6</f>
        <v>106575</v>
      </c>
    </row>
    <row r="7" spans="1:8" ht="13.7" customHeight="1" x14ac:dyDescent="0.2">
      <c r="A7" s="579" t="s">
        <v>154</v>
      </c>
      <c r="B7" s="1724">
        <f>'Revenues 9-14'!F5</f>
        <v>61019</v>
      </c>
      <c r="C7" s="1664"/>
      <c r="D7" s="1725">
        <f t="shared" si="0"/>
        <v>61019</v>
      </c>
      <c r="E7" s="1664">
        <v>63003</v>
      </c>
      <c r="F7" s="1725">
        <f t="shared" si="1"/>
        <v>63003</v>
      </c>
    </row>
    <row r="8" spans="1:8" ht="13.7" customHeight="1" x14ac:dyDescent="0.2">
      <c r="A8" s="579" t="s">
        <v>1169</v>
      </c>
      <c r="B8" s="1724">
        <f>'Revenues 9-14'!G5</f>
        <v>20386</v>
      </c>
      <c r="C8" s="1664"/>
      <c r="D8" s="1725">
        <f t="shared" si="0"/>
        <v>20386</v>
      </c>
      <c r="E8" s="1664">
        <v>21001</v>
      </c>
      <c r="F8" s="1725">
        <f t="shared" si="1"/>
        <v>21001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25425</v>
      </c>
      <c r="C10" s="1664"/>
      <c r="D10" s="1725">
        <f t="shared" si="0"/>
        <v>25425</v>
      </c>
      <c r="E10" s="1664">
        <v>26200</v>
      </c>
      <c r="F10" s="1725">
        <f t="shared" si="1"/>
        <v>26200</v>
      </c>
    </row>
    <row r="11" spans="1:8" x14ac:dyDescent="0.2">
      <c r="A11" s="579" t="s">
        <v>406</v>
      </c>
      <c r="B11" s="1724">
        <f>'Revenues 9-14'!J5</f>
        <v>40767</v>
      </c>
      <c r="C11" s="1664"/>
      <c r="D11" s="1725">
        <f t="shared" si="0"/>
        <v>40767</v>
      </c>
      <c r="E11" s="1664">
        <v>41001</v>
      </c>
      <c r="F11" s="1725">
        <f t="shared" si="1"/>
        <v>41001</v>
      </c>
    </row>
    <row r="12" spans="1:8" ht="13.7" customHeight="1" x14ac:dyDescent="0.2">
      <c r="A12" s="579" t="s">
        <v>156</v>
      </c>
      <c r="B12" s="1724">
        <f>'Revenues 9-14'!K5</f>
        <v>25425</v>
      </c>
      <c r="C12" s="1664"/>
      <c r="D12" s="1725">
        <f t="shared" si="0"/>
        <v>25425</v>
      </c>
      <c r="E12" s="1664">
        <v>26200</v>
      </c>
      <c r="F12" s="1725">
        <f t="shared" si="1"/>
        <v>26200</v>
      </c>
    </row>
    <row r="13" spans="1:8" ht="13.7" customHeight="1" x14ac:dyDescent="0.2">
      <c r="A13" s="579" t="s">
        <v>930</v>
      </c>
      <c r="B13" s="1724">
        <f>SUM('Revenues 9-14'!C6:D6)</f>
        <v>10170</v>
      </c>
      <c r="C13" s="1664"/>
      <c r="D13" s="1725">
        <f t="shared" si="0"/>
        <v>10170</v>
      </c>
      <c r="E13" s="1664">
        <v>5304</v>
      </c>
      <c r="F13" s="1725">
        <f t="shared" si="1"/>
        <v>5304</v>
      </c>
    </row>
    <row r="14" spans="1:8" ht="13.7" customHeight="1" x14ac:dyDescent="0.2">
      <c r="A14" s="579" t="s">
        <v>407</v>
      </c>
      <c r="B14" s="1724">
        <f>SUM('Revenues 9-14'!C7:D7,'Revenues 9-14'!F7:H7)</f>
        <v>10195</v>
      </c>
      <c r="C14" s="1664"/>
      <c r="D14" s="1725">
        <f t="shared" si="0"/>
        <v>10195</v>
      </c>
      <c r="E14" s="1664">
        <v>10503</v>
      </c>
      <c r="F14" s="1725">
        <f t="shared" si="1"/>
        <v>10503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22080</v>
      </c>
      <c r="C16" s="1664"/>
      <c r="D16" s="1725">
        <f t="shared" si="0"/>
        <v>22080</v>
      </c>
      <c r="E16" s="1664">
        <v>21003</v>
      </c>
      <c r="F16" s="1725">
        <f t="shared" si="1"/>
        <v>21003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1169019</v>
      </c>
      <c r="C19" s="1726">
        <f>SUM(C4:C18)</f>
        <v>0</v>
      </c>
      <c r="D19" s="1726">
        <f>SUM(D4:D18)</f>
        <v>1169019</v>
      </c>
      <c r="E19" s="1726">
        <f>SUM(E4:E18)</f>
        <v>1225993</v>
      </c>
      <c r="F19" s="1726">
        <f>SUM(F4:F18)</f>
        <v>1225993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43161</v>
      </c>
      <c r="C31" s="1734">
        <v>300000</v>
      </c>
      <c r="D31" s="1735">
        <v>1</v>
      </c>
      <c r="E31" s="1734">
        <v>205000</v>
      </c>
      <c r="F31" s="1734"/>
      <c r="G31" s="1734"/>
      <c r="H31" s="1734">
        <v>100000</v>
      </c>
      <c r="I31" s="1736">
        <f>((E31+F31)-H31)+G31</f>
        <v>105000</v>
      </c>
      <c r="J31" s="1734">
        <v>102076</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300000</v>
      </c>
      <c r="D49" s="1742"/>
      <c r="E49" s="1736">
        <f t="shared" ref="E49:J49" si="2">SUM(E31:E48)</f>
        <v>205000</v>
      </c>
      <c r="F49" s="1736">
        <f t="shared" si="2"/>
        <v>0</v>
      </c>
      <c r="G49" s="1736">
        <f t="shared" si="2"/>
        <v>0</v>
      </c>
      <c r="H49" s="1736">
        <f t="shared" si="2"/>
        <v>100000</v>
      </c>
      <c r="I49" s="1736">
        <f t="shared" si="2"/>
        <v>105000</v>
      </c>
      <c r="J49" s="1736">
        <f t="shared" si="2"/>
        <v>102076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5304</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5304</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5304</v>
      </c>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5304</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201200</v>
      </c>
      <c r="D5" s="1770"/>
      <c r="E5" s="1770"/>
      <c r="F5" s="1765">
        <f>(C5+D5)-E5</f>
        <v>201200</v>
      </c>
      <c r="G5" s="676"/>
      <c r="H5" s="680"/>
      <c r="I5" s="680"/>
      <c r="J5" s="680"/>
      <c r="K5" s="637"/>
      <c r="L5" s="1442">
        <f>F5-K5</f>
        <v>201200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1189444</v>
      </c>
      <c r="D8" s="1771"/>
      <c r="E8" s="1771"/>
      <c r="F8" s="1765">
        <f>(C8+D8)-E8</f>
        <v>1189444</v>
      </c>
      <c r="G8" s="681">
        <v>50</v>
      </c>
      <c r="H8" s="619">
        <v>503896</v>
      </c>
      <c r="I8" s="619">
        <v>35050</v>
      </c>
      <c r="J8" s="619"/>
      <c r="K8" s="1442">
        <f>(H8+I8)-J8</f>
        <v>538946</v>
      </c>
      <c r="L8" s="1442">
        <f>F8-K8</f>
        <v>650498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343951</v>
      </c>
      <c r="D10" s="1772">
        <v>15803</v>
      </c>
      <c r="E10" s="1772"/>
      <c r="F10" s="1773">
        <f>(C10+D10)-E10</f>
        <v>359754</v>
      </c>
      <c r="G10" s="681">
        <v>20</v>
      </c>
      <c r="H10" s="683">
        <v>297746</v>
      </c>
      <c r="I10" s="683">
        <v>15593</v>
      </c>
      <c r="J10" s="683"/>
      <c r="K10" s="1442">
        <f>(H10+I10)-J10</f>
        <v>313339</v>
      </c>
      <c r="L10" s="1442">
        <f>F10-K10</f>
        <v>46415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267420</v>
      </c>
      <c r="D12" s="1771">
        <v>900</v>
      </c>
      <c r="E12" s="1771"/>
      <c r="F12" s="1765">
        <f>(C12+D12)-E12</f>
        <v>268320</v>
      </c>
      <c r="G12" s="681">
        <v>10</v>
      </c>
      <c r="H12" s="619">
        <v>187942</v>
      </c>
      <c r="I12" s="619">
        <v>25311</v>
      </c>
      <c r="J12" s="619"/>
      <c r="K12" s="1442">
        <f>(H12+I12)-J12</f>
        <v>213253</v>
      </c>
      <c r="L12" s="1442">
        <f>F12-K12</f>
        <v>55067</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2002015</v>
      </c>
      <c r="D16" s="1765">
        <f>SUM(D3,D5:D6,D8:D10,D12:D15)</f>
        <v>16703</v>
      </c>
      <c r="E16" s="1765">
        <f>SUM(E3,E5:E6,E8:E10,E12:E15)</f>
        <v>0</v>
      </c>
      <c r="F16" s="1765">
        <f>SUM(F3,F5:F6,F8:F10,F12:F15)</f>
        <v>2018718</v>
      </c>
      <c r="G16" s="681"/>
      <c r="H16" s="1435">
        <f>SUM(H3,H6,H8:H10,H12:H14,)</f>
        <v>989584</v>
      </c>
      <c r="I16" s="1435">
        <f>SUM(I3,I6,I8:I10,I12:I14,)</f>
        <v>75954</v>
      </c>
      <c r="J16" s="1435">
        <f>SUM(J3,J6,J8:J10,J12:J14,)</f>
        <v>0</v>
      </c>
      <c r="K16" s="1435">
        <f>(H16+I16)-J16</f>
        <v>1065538</v>
      </c>
      <c r="L16" s="1435">
        <f>F16-K16</f>
        <v>953180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75954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K179" sqref="K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1275336</v>
      </c>
      <c r="G8" s="701"/>
    </row>
    <row r="9" spans="1:9" x14ac:dyDescent="0.2">
      <c r="A9" s="705" t="s">
        <v>457</v>
      </c>
      <c r="B9" s="706" t="s">
        <v>1848</v>
      </c>
      <c r="C9" s="707"/>
      <c r="D9" s="705" t="s">
        <v>498</v>
      </c>
      <c r="E9" s="704"/>
      <c r="F9" s="1775">
        <f>'Expenditures 15-22'!K151</f>
        <v>146255</v>
      </c>
      <c r="G9" s="708"/>
    </row>
    <row r="10" spans="1:9" x14ac:dyDescent="0.2">
      <c r="A10" s="705" t="s">
        <v>496</v>
      </c>
      <c r="B10" s="706" t="s">
        <v>1849</v>
      </c>
      <c r="C10" s="707"/>
      <c r="D10" s="705" t="s">
        <v>498</v>
      </c>
      <c r="E10" s="704"/>
      <c r="F10" s="1775">
        <f>'Expenditures 15-22'!K174</f>
        <v>105025</v>
      </c>
      <c r="G10" s="708"/>
    </row>
    <row r="11" spans="1:9" x14ac:dyDescent="0.2">
      <c r="A11" s="705" t="s">
        <v>458</v>
      </c>
      <c r="B11" s="706" t="s">
        <v>1850</v>
      </c>
      <c r="C11" s="707"/>
      <c r="D11" s="705" t="s">
        <v>498</v>
      </c>
      <c r="E11" s="704"/>
      <c r="F11" s="1775">
        <f>'Expenditures 15-22'!K210</f>
        <v>137090</v>
      </c>
      <c r="G11" s="708"/>
    </row>
    <row r="12" spans="1:9" x14ac:dyDescent="0.2">
      <c r="A12" s="705" t="s">
        <v>459</v>
      </c>
      <c r="B12" s="706" t="s">
        <v>1851</v>
      </c>
      <c r="C12" s="707"/>
      <c r="D12" s="705" t="s">
        <v>498</v>
      </c>
      <c r="E12" s="704"/>
      <c r="F12" s="1775">
        <f>'Expenditures 15-22'!K295</f>
        <v>28349</v>
      </c>
      <c r="G12" s="708"/>
    </row>
    <row r="13" spans="1:9" x14ac:dyDescent="0.2">
      <c r="A13" s="705" t="s">
        <v>106</v>
      </c>
      <c r="B13" s="706" t="s">
        <v>1852</v>
      </c>
      <c r="C13" s="707"/>
      <c r="D13" s="705" t="s">
        <v>498</v>
      </c>
      <c r="E13" s="704"/>
      <c r="F13" s="1775">
        <f>'Expenditures 15-22'!K342</f>
        <v>33710</v>
      </c>
      <c r="G13" s="709"/>
    </row>
    <row r="14" spans="1:9" ht="12" customHeight="1" thickBot="1" x14ac:dyDescent="0.25">
      <c r="A14" s="1443"/>
      <c r="B14" s="1444"/>
      <c r="C14" s="1445"/>
      <c r="D14" s="1446" t="s">
        <v>498</v>
      </c>
      <c r="E14" s="1447" t="s">
        <v>952</v>
      </c>
      <c r="F14" s="1776">
        <f>SUM(F8:F13)</f>
        <v>1725765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9632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81861</v>
      </c>
      <c r="G53" s="701"/>
    </row>
    <row r="54" spans="1:7" x14ac:dyDescent="0.2">
      <c r="A54" s="705" t="s">
        <v>456</v>
      </c>
      <c r="B54" s="705" t="s">
        <v>1459</v>
      </c>
      <c r="C54" s="724" t="s">
        <v>975</v>
      </c>
      <c r="D54" s="720" t="s">
        <v>1086</v>
      </c>
      <c r="E54" s="704"/>
      <c r="F54" s="1782">
        <f>'Expenditures 15-22'!G114</f>
        <v>2621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18090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100000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212204</v>
      </c>
      <c r="G77" s="701"/>
    </row>
    <row r="78" spans="1:9" s="728" customFormat="1" ht="12" customHeight="1" thickTop="1" thickBot="1" x14ac:dyDescent="0.25">
      <c r="A78" s="1450"/>
      <c r="B78" s="1448"/>
      <c r="C78" s="1445"/>
      <c r="D78" s="1449" t="s">
        <v>2012</v>
      </c>
      <c r="E78" s="1447"/>
      <c r="F78" s="1788">
        <f>(F14-F77)</f>
        <v>1513561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65.94</v>
      </c>
      <c r="G79" s="733"/>
      <c r="H79" s="705"/>
      <c r="I79" s="705"/>
    </row>
    <row r="80" spans="1:9" s="728" customFormat="1" ht="12" customHeight="1" thickBot="1" x14ac:dyDescent="0.25">
      <c r="A80" s="1452"/>
      <c r="B80" s="1448"/>
      <c r="C80" s="1445"/>
      <c r="D80" s="1449" t="s">
        <v>2013</v>
      </c>
      <c r="E80" s="1447" t="s">
        <v>952</v>
      </c>
      <c r="F80" s="1790">
        <f>IF(F79&gt;0,F78/F79," Complete Line 79")</f>
        <v>22953.609341825904</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11450</v>
      </c>
      <c r="G95" s="745"/>
    </row>
    <row r="96" spans="1:7" x14ac:dyDescent="0.2">
      <c r="A96" s="741" t="s">
        <v>139</v>
      </c>
      <c r="B96" s="741" t="s">
        <v>174</v>
      </c>
      <c r="C96" s="743">
        <v>1700</v>
      </c>
      <c r="D96" s="751" t="str">
        <f>'Revenues 9-14'!A82</f>
        <v>Total District/School Activity Income</v>
      </c>
      <c r="E96" s="739"/>
      <c r="F96" s="1793">
        <f>SUM('Revenues 9-14'!C82,'Revenues 9-14'!D82)</f>
        <v>2682</v>
      </c>
      <c r="G96" s="745"/>
    </row>
    <row r="97" spans="1:7" x14ac:dyDescent="0.2">
      <c r="A97" s="741" t="s">
        <v>456</v>
      </c>
      <c r="B97" s="741" t="s">
        <v>175</v>
      </c>
      <c r="C97" s="743">
        <f>'Revenues 9-14'!B84</f>
        <v>1811</v>
      </c>
      <c r="D97" s="744" t="str">
        <f>'Revenues 9-14'!A84</f>
        <v>Rentals - Regular Textbooks</v>
      </c>
      <c r="E97" s="739"/>
      <c r="F97" s="1793">
        <f>'Revenues 9-14'!C84</f>
        <v>3461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32071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243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87887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39500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13394</v>
      </c>
      <c r="G125" s="763"/>
    </row>
    <row r="126" spans="1:7" x14ac:dyDescent="0.2">
      <c r="A126" s="760" t="s">
        <v>659</v>
      </c>
      <c r="B126" s="760" t="s">
        <v>1930</v>
      </c>
      <c r="C126" s="765">
        <v>4200</v>
      </c>
      <c r="D126" s="762" t="str">
        <f>'Revenues 9-14'!A198</f>
        <v>Total Food Service</v>
      </c>
      <c r="E126" s="739"/>
      <c r="F126" s="1793">
        <f>SUM('Revenues 9-14'!C198,'Revenues 9-14'!G198)</f>
        <v>21947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12663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7300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19953</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1923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4883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259357</v>
      </c>
    </row>
    <row r="176" spans="1:7" ht="12" customHeight="1" x14ac:dyDescent="0.2">
      <c r="A176" s="1443"/>
      <c r="B176" s="1453"/>
      <c r="C176" s="1454"/>
      <c r="D176" s="1455" t="s">
        <v>2014</v>
      </c>
      <c r="E176" s="1456"/>
      <c r="F176" s="1793">
        <f>'PCTC-OEPP 27-28'!F78-F175</f>
        <v>1254204</v>
      </c>
    </row>
    <row r="177" spans="1:9" ht="12" customHeight="1" x14ac:dyDescent="0.2">
      <c r="A177" s="1443"/>
      <c r="B177" s="1453"/>
      <c r="C177" s="1454"/>
      <c r="D177" s="1455" t="s">
        <v>1794</v>
      </c>
      <c r="E177" s="1456"/>
      <c r="F177" s="1793">
        <f>'Cap Outlay Deprec 26'!I18</f>
        <v>75954</v>
      </c>
    </row>
    <row r="178" spans="1:9" ht="12" customHeight="1" x14ac:dyDescent="0.2">
      <c r="A178" s="1443"/>
      <c r="B178" s="1453"/>
      <c r="C178" s="1454"/>
      <c r="D178" s="1455" t="s">
        <v>2015</v>
      </c>
      <c r="E178" s="1456"/>
      <c r="F178" s="1793">
        <f>F176+F177</f>
        <v>1330158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65.94</v>
      </c>
      <c r="G179" s="763"/>
      <c r="I179" s="701"/>
    </row>
    <row r="180" spans="1:9" ht="12" customHeight="1" thickBot="1" x14ac:dyDescent="0.25">
      <c r="A180" s="1443"/>
      <c r="B180" s="1457"/>
      <c r="C180" s="1454"/>
      <c r="D180" s="1455" t="s">
        <v>2017</v>
      </c>
      <c r="E180" s="1456" t="s">
        <v>1528</v>
      </c>
      <c r="F180" s="1798">
        <f>F178/F179</f>
        <v>20172.247497725206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18" sqref="C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2085</v>
      </c>
      <c r="B18" s="1908">
        <v>202540300</v>
      </c>
      <c r="C18" s="2036" t="s">
        <v>2086</v>
      </c>
      <c r="D18" s="1886">
        <v>26061</v>
      </c>
      <c r="E18" s="1906" t="str">
        <f t="shared" ref="E18:E81" si="0">IF(D18&lt;25000,D18,"25,000")</f>
        <v>25,000</v>
      </c>
      <c r="F18" s="1906">
        <f t="shared" ref="F18:F81" si="1">IF(D18&gt;=25000,(D18-E18),"0")</f>
        <v>1061</v>
      </c>
      <c r="G18" s="1887"/>
    </row>
    <row r="19" spans="1:7" x14ac:dyDescent="0.25">
      <c r="A19" s="2035" t="s">
        <v>2085</v>
      </c>
      <c r="B19" s="1908">
        <v>202540300</v>
      </c>
      <c r="C19" s="2036" t="s">
        <v>2087</v>
      </c>
      <c r="D19" s="1886">
        <v>1507</v>
      </c>
      <c r="E19" s="1906">
        <f t="shared" si="0"/>
        <v>1507</v>
      </c>
      <c r="F19" s="1906" t="str">
        <f t="shared" si="1"/>
        <v>0</v>
      </c>
    </row>
    <row r="20" spans="1:7" x14ac:dyDescent="0.25">
      <c r="A20" s="2035" t="s">
        <v>2085</v>
      </c>
      <c r="B20" s="1908">
        <v>202540300</v>
      </c>
      <c r="C20" s="2036" t="s">
        <v>2088</v>
      </c>
      <c r="D20" s="1886">
        <v>8400</v>
      </c>
      <c r="E20" s="1906">
        <f t="shared" si="0"/>
        <v>8400</v>
      </c>
      <c r="F20" s="1906" t="str">
        <f t="shared" si="1"/>
        <v>0</v>
      </c>
    </row>
    <row r="21" spans="1:7" x14ac:dyDescent="0.25">
      <c r="A21" s="2035" t="s">
        <v>2090</v>
      </c>
      <c r="B21" s="1908">
        <v>402550300</v>
      </c>
      <c r="C21" s="2036" t="s">
        <v>2075</v>
      </c>
      <c r="D21" s="1886">
        <v>82391</v>
      </c>
      <c r="E21" s="1906" t="str">
        <f t="shared" si="0"/>
        <v>25,000</v>
      </c>
      <c r="F21" s="1906">
        <f t="shared" si="1"/>
        <v>57391</v>
      </c>
    </row>
    <row r="22" spans="1:7" x14ac:dyDescent="0.25">
      <c r="A22" s="2035" t="s">
        <v>2091</v>
      </c>
      <c r="B22" s="1908">
        <v>402550300</v>
      </c>
      <c r="C22" s="2036" t="s">
        <v>2089</v>
      </c>
      <c r="D22" s="1886">
        <v>33555</v>
      </c>
      <c r="E22" s="1906" t="str">
        <f t="shared" si="0"/>
        <v>25,000</v>
      </c>
      <c r="F22" s="1906">
        <f t="shared" si="1"/>
        <v>8555</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151914</v>
      </c>
      <c r="E142" s="1893">
        <f>SUM(E18:E141)</f>
        <v>9907</v>
      </c>
      <c r="F142" s="1894">
        <f>SUM(F18:F141)</f>
        <v>67007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24233</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3847</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884957</v>
      </c>
      <c r="F19" s="1802"/>
      <c r="G19" s="1804">
        <f>'Expenditures 15-22'!K33-SUM('Expenditures 15-22'!G33,'Expenditures 15-22'!I33)+'Expenditures 15-22'!D229</f>
        <v>884957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45841</v>
      </c>
      <c r="F21" s="1805"/>
      <c r="G21" s="1808">
        <f>'Expenditures 15-22'!K42-SUM('Expenditures 15-22'!G42,'Expenditures 15-22'!I42)+'Expenditures 15-22'!K120-SUM('Expenditures 15-22'!G120,'Expenditures 15-22'!I120)+'Expenditures 15-22'!K180-SUM('Expenditures 15-22'!G180,'Expenditures 15-22'!I180)+'Expenditures 15-22'!D238</f>
        <v>45841</v>
      </c>
      <c r="H21" s="817"/>
      <c r="I21" s="157"/>
    </row>
    <row r="22" spans="1:9" s="542" customFormat="1" ht="12" customHeight="1" x14ac:dyDescent="0.2">
      <c r="A22" s="824" t="s">
        <v>560</v>
      </c>
      <c r="B22" s="825"/>
      <c r="C22" s="823">
        <v>2200</v>
      </c>
      <c r="D22" s="1805"/>
      <c r="E22" s="1807">
        <f>'Expenditures 15-22'!K47-SUM('Expenditures 15-22'!G47,'Expenditures 15-22'!I47)+'Expenditures 15-22'!D243</f>
        <v>4876</v>
      </c>
      <c r="F22" s="1805"/>
      <c r="G22" s="1808">
        <f>'Expenditures 15-22'!K47-SUM('Expenditures 15-22'!G47,'Expenditures 15-22'!I47)+'Expenditures 15-22'!D243</f>
        <v>4876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134729</v>
      </c>
      <c r="F23" s="1805"/>
      <c r="G23" s="1807">
        <f>'Expenditures 15-22'!K53-SUM('Expenditures 15-22'!G53,'Expenditures 15-22'!I53)+'Expenditures 15-22'!D257+'Expenditures 15-22'!K330-SUM('Expenditures 15-22'!G330,'Expenditures 15-22'!I330)</f>
        <v>134729</v>
      </c>
      <c r="H23" s="817"/>
      <c r="I23" s="157"/>
    </row>
    <row r="24" spans="1:9" s="542" customFormat="1" ht="12" customHeight="1" x14ac:dyDescent="0.2">
      <c r="A24" s="824" t="s">
        <v>562</v>
      </c>
      <c r="B24" s="825"/>
      <c r="C24" s="823">
        <v>2400</v>
      </c>
      <c r="D24" s="1805"/>
      <c r="E24" s="1807">
        <f>'Expenditures 15-22'!K57-SUM('Expenditures 15-22'!G57,'Expenditures 15-22'!I57)+'Expenditures 15-22'!D261</f>
        <v>75199</v>
      </c>
      <c r="F24" s="1805"/>
      <c r="G24" s="1808">
        <f>'Expenditures 15-22'!K57-SUM('Expenditures 15-22'!G57,'Expenditures 15-22'!I57)+'Expenditures 15-22'!D261</f>
        <v>75199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44731</v>
      </c>
      <c r="E27" s="1807">
        <f>E8</f>
        <v>0</v>
      </c>
      <c r="F27" s="1807">
        <f>'Expenditures 15-22'!K60-SUM('Expenditures 15-22'!G60,'Expenditures 15-22'!I60)+'Expenditures 15-22'!D264-E8</f>
        <v>44731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132000</v>
      </c>
      <c r="F28" s="1809">
        <f>'Expenditures 15-22'!K61-SUM('Expenditures 15-22'!G61,'Expenditures 15-22'!I61)+'Expenditures 15-22'!K124-SUM('Expenditures 15-22'!G124,'Expenditures 15-22'!I124)+'Expenditures 15-22'!D266-E9</f>
        <v>132000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137090</v>
      </c>
      <c r="F29" s="1805"/>
      <c r="G29" s="1808">
        <f>'Expenditures 15-22'!K62-SUM('Expenditures 15-22'!G62,'Expenditures 15-22'!I62)+'Expenditures 15-22'!K125-SUM('Expenditures 15-22'!G125,'Expenditures 15-22'!I125)+'Expenditures 15-22'!K182-SUM('Expenditures 15-22'!G182,'Expenditures 15-22'!I182)+'Expenditures 15-22'!D267</f>
        <v>137090</v>
      </c>
      <c r="H29" s="815"/>
    </row>
    <row r="30" spans="1:9" ht="12" customHeight="1" x14ac:dyDescent="0.2">
      <c r="A30" s="824" t="s">
        <v>100</v>
      </c>
      <c r="B30" s="827"/>
      <c r="C30" s="823">
        <v>2560</v>
      </c>
      <c r="D30" s="1805"/>
      <c r="E30" s="1807">
        <f>'Expenditures 15-22'!K63-SUM('Expenditures 15-22'!G63,'Expenditures 15-22'!I63)+'Expenditures 15-22'!D268-E10</f>
        <v>33912</v>
      </c>
      <c r="F30" s="1805"/>
      <c r="G30" s="1807">
        <f>'Expenditures 15-22'!K63-SUM('Expenditures 15-22'!G63,'Expenditures 15-22'!I63)+'Expenditures 15-22'!D268-E10</f>
        <v>33912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600</v>
      </c>
      <c r="F38" s="1805"/>
      <c r="G38" s="1807">
        <f>'Expenditures 15-22'!K73-SUM('Expenditures 15-22'!G73,'Expenditures 15-22'!I73)+'Expenditures 15-22'!K128-SUM('Expenditures 15-22'!G128,'Expenditures 15-22'!I128)+'Expenditures 15-22'!K183-SUM('Expenditures 15-22'!G183,'Expenditures 15-22'!I183)+'Expenditures 15-22'!D278</f>
        <v>600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-67007</v>
      </c>
      <c r="F40" s="1805"/>
      <c r="G40" s="1809">
        <f>-'Contracts Paid in CY 29'!F142</f>
        <v>-67007</v>
      </c>
    </row>
    <row r="41" spans="1:7" ht="12" customHeight="1" x14ac:dyDescent="0.2">
      <c r="A41" s="828" t="s">
        <v>155</v>
      </c>
      <c r="B41" s="829"/>
      <c r="C41" s="830"/>
      <c r="D41" s="1809">
        <f>SUM(D19:D39)</f>
        <v>44731</v>
      </c>
      <c r="E41" s="1809">
        <f>SUM(E19:E40)</f>
        <v>1382197</v>
      </c>
      <c r="F41" s="1809">
        <f>SUM(F19:F39)</f>
        <v>176731</v>
      </c>
      <c r="G41" s="1809">
        <f>SUM(G19:G40)</f>
        <v>1250197</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44731</v>
      </c>
      <c r="F43" s="1458" t="s">
        <v>470</v>
      </c>
      <c r="G43" s="1810">
        <f>F41</f>
        <v>176731</v>
      </c>
    </row>
    <row r="44" spans="1:7" ht="12" customHeight="1" x14ac:dyDescent="0.2">
      <c r="A44" s="817"/>
      <c r="B44" s="157"/>
      <c r="C44" s="831"/>
      <c r="D44" s="1458" t="s">
        <v>471</v>
      </c>
      <c r="E44" s="1810">
        <f>E41</f>
        <v>1382197</v>
      </c>
      <c r="F44" s="1458" t="s">
        <v>471</v>
      </c>
      <c r="G44" s="1810">
        <f>G41</f>
        <v>1250197</v>
      </c>
    </row>
    <row r="45" spans="1:7" ht="12" customHeight="1" x14ac:dyDescent="0.2">
      <c r="A45" s="817"/>
      <c r="B45" s="157"/>
      <c r="C45" s="157"/>
      <c r="D45" s="1459" t="s">
        <v>999</v>
      </c>
      <c r="E45" s="1811">
        <f>(E43/E44)</f>
        <v>3.2362246481507338E-2</v>
      </c>
      <c r="F45" s="1459" t="s">
        <v>999</v>
      </c>
      <c r="G45" s="1811">
        <f>(G43/G44)</f>
        <v>0.14136252126664839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Allen-Otter Creek CCSD 65</v>
      </c>
      <c r="D6" s="2404"/>
      <c r="E6" s="2404"/>
      <c r="F6" s="1482"/>
      <c r="G6" s="1507"/>
      <c r="L6" s="1507"/>
      <c r="M6" s="1855"/>
      <c r="N6" s="1855"/>
      <c r="O6" s="1855"/>
    </row>
    <row r="7" spans="1:15" ht="11.25" customHeight="1" thickBot="1" x14ac:dyDescent="0.3">
      <c r="A7" s="1480"/>
      <c r="B7" s="1481"/>
      <c r="C7" s="2405">
        <f>COVER!A13</f>
        <v>35050065004</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2070</v>
      </c>
      <c r="D11" s="1495" t="s">
        <v>2070</v>
      </c>
      <c r="E11" s="1496"/>
      <c r="F11" s="1497" t="s">
        <v>2071</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2070</v>
      </c>
      <c r="D16" s="1495" t="s">
        <v>2070</v>
      </c>
      <c r="E16" s="1498"/>
      <c r="F16" s="1497" t="s">
        <v>2072</v>
      </c>
      <c r="G16" s="1507"/>
      <c r="H16" s="1507">
        <f t="shared" si="0"/>
        <v>5</v>
      </c>
      <c r="I16" s="1507">
        <f t="shared" si="1"/>
        <v>5</v>
      </c>
      <c r="J16" s="1507">
        <f t="shared" si="2"/>
        <v>0</v>
      </c>
      <c r="L16" s="1507"/>
      <c r="M16" s="1855"/>
      <c r="N16" s="1855"/>
      <c r="O16" s="1855"/>
    </row>
    <row r="17" spans="1:15" ht="12" customHeight="1" x14ac:dyDescent="0.2">
      <c r="A17" s="1493" t="s">
        <v>1373</v>
      </c>
      <c r="B17" s="1494"/>
      <c r="C17" s="1495" t="s">
        <v>2070</v>
      </c>
      <c r="D17" s="1495" t="s">
        <v>2070</v>
      </c>
      <c r="E17" s="1498"/>
      <c r="F17" s="1497" t="s">
        <v>2073</v>
      </c>
      <c r="G17" s="1507"/>
      <c r="H17" s="1507">
        <f t="shared" si="0"/>
        <v>5</v>
      </c>
      <c r="I17" s="1507">
        <f t="shared" si="1"/>
        <v>5</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2070</v>
      </c>
      <c r="D24" s="1495" t="s">
        <v>2070</v>
      </c>
      <c r="E24" s="1498"/>
      <c r="F24" s="1497" t="s">
        <v>2071</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2070</v>
      </c>
      <c r="D25" s="1495" t="s">
        <v>2070</v>
      </c>
      <c r="E25" s="1498"/>
      <c r="F25" s="1497" t="s">
        <v>2074</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2070</v>
      </c>
      <c r="D26" s="1495" t="s">
        <v>2070</v>
      </c>
      <c r="E26" s="1498"/>
      <c r="F26" s="1497" t="s">
        <v>2073</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2070</v>
      </c>
      <c r="D30" s="1495" t="s">
        <v>2070</v>
      </c>
      <c r="E30" s="1498"/>
      <c r="F30" s="1497" t="s">
        <v>2075</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2070</v>
      </c>
      <c r="D32" s="1495" t="s">
        <v>2070</v>
      </c>
      <c r="E32" s="1498"/>
      <c r="F32" s="1497" t="s">
        <v>2076</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N16" sqref="N16"/>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Allen-Otter Creek CCSD 65</v>
      </c>
      <c r="K6" s="2420"/>
      <c r="L6" s="2421"/>
      <c r="M6" s="838"/>
      <c r="N6" s="1998"/>
    </row>
    <row r="7" spans="1:14" x14ac:dyDescent="0.2">
      <c r="A7" s="2422" t="s">
        <v>864</v>
      </c>
      <c r="B7" s="2423"/>
      <c r="C7" s="2423"/>
      <c r="D7" s="2423"/>
      <c r="E7" s="2424"/>
      <c r="F7" s="839"/>
      <c r="G7" s="838"/>
      <c r="H7" s="838"/>
      <c r="I7" s="1924" t="s">
        <v>369</v>
      </c>
      <c r="J7" s="2425">
        <f>COVER!A13</f>
        <v>35050065004</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79747</v>
      </c>
      <c r="F12" s="1942"/>
      <c r="G12" s="1968">
        <f>G68</f>
        <v>0</v>
      </c>
      <c r="H12" s="1944">
        <f t="shared" ref="H12:H18" si="0">SUM(E12:G12)</f>
        <v>79747</v>
      </c>
      <c r="I12" s="1943">
        <v>81080</v>
      </c>
      <c r="J12" s="1942"/>
      <c r="K12" s="1943"/>
      <c r="L12" s="1944">
        <f t="shared" ref="L12:L18" si="1">SUM(I12:K12)</f>
        <v>81080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79747</v>
      </c>
      <c r="F19" s="1950">
        <f t="shared" si="2"/>
        <v>0</v>
      </c>
      <c r="G19" s="1950">
        <f t="shared" ref="G19" si="3">SUM(G12:G17)-G18</f>
        <v>0</v>
      </c>
      <c r="H19" s="1950">
        <f t="shared" si="2"/>
        <v>79747</v>
      </c>
      <c r="I19" s="1950">
        <f t="shared" si="2"/>
        <v>81080</v>
      </c>
      <c r="J19" s="1950">
        <f t="shared" si="2"/>
        <v>0</v>
      </c>
      <c r="K19" s="1950">
        <f t="shared" si="2"/>
        <v>0</v>
      </c>
      <c r="L19" s="1950">
        <f t="shared" si="2"/>
        <v>81080</v>
      </c>
      <c r="M19" s="838"/>
      <c r="N19" s="1998"/>
    </row>
    <row r="20" spans="1:14" ht="13.5" thickTop="1" x14ac:dyDescent="0.2">
      <c r="A20" s="2003">
        <v>9</v>
      </c>
      <c r="B20" s="2432" t="s">
        <v>2021</v>
      </c>
      <c r="C20" s="2432"/>
      <c r="D20" s="2433"/>
      <c r="E20" s="1951"/>
      <c r="F20" s="1951"/>
      <c r="G20" s="1951"/>
      <c r="H20" s="1951"/>
      <c r="I20" s="1951"/>
      <c r="J20" s="1951"/>
      <c r="K20" s="1951"/>
      <c r="L20" s="1952">
        <f>IF(AND(H19&gt;0,L19&gt;0),(((L19-H19)/H19)),"Enter Budget Data")</f>
        <v>1.6715362333379311E-2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Allen-Otter Creek CCSD 65</v>
      </c>
      <c r="M52" s="2420"/>
      <c r="N52" s="2450"/>
    </row>
    <row r="53" spans="1:14" x14ac:dyDescent="0.2">
      <c r="A53" s="1982"/>
      <c r="B53" s="1983"/>
      <c r="C53" s="1983"/>
      <c r="D53" s="1983"/>
      <c r="E53" s="1983"/>
      <c r="F53" s="1983"/>
      <c r="G53" s="1983"/>
      <c r="H53" s="1983"/>
      <c r="I53" s="1983"/>
      <c r="J53" s="1983"/>
      <c r="K53" s="1924" t="s">
        <v>369</v>
      </c>
      <c r="L53" s="2425">
        <f>J7</f>
        <v>35050065004</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7594</v>
      </c>
      <c r="F58" s="1972"/>
      <c r="G58" s="2031"/>
      <c r="H58" s="2032"/>
      <c r="I58" s="2032"/>
      <c r="J58" s="2032"/>
      <c r="K58" s="2032"/>
      <c r="L58" s="2032"/>
      <c r="M58" s="2032">
        <v>7594</v>
      </c>
      <c r="N58" s="1975">
        <f>IF((SUM(G58:M58))=E58,SUM(G58:M58),"Column N does not agree with Column E")</f>
        <v>7594</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1" t="s">
        <v>697</v>
      </c>
      <c r="B61" s="2462"/>
      <c r="C61" s="2462"/>
      <c r="D61" s="1967">
        <v>2365</v>
      </c>
      <c r="E61" s="1977">
        <f>'Expenditures 15-22'!K323</f>
        <v>0</v>
      </c>
      <c r="F61" s="1972"/>
      <c r="G61" s="2031"/>
      <c r="H61" s="2032"/>
      <c r="I61" s="2032"/>
      <c r="J61" s="2032"/>
      <c r="K61" s="2032"/>
      <c r="L61" s="2032"/>
      <c r="M61" s="2032"/>
      <c r="N61" s="1975">
        <f t="shared" si="4"/>
        <v>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10957</v>
      </c>
      <c r="F63" s="1972"/>
      <c r="G63" s="2031"/>
      <c r="H63" s="2032"/>
      <c r="I63" s="2032"/>
      <c r="J63" s="2032"/>
      <c r="K63" s="2032"/>
      <c r="L63" s="2032"/>
      <c r="M63" s="2032">
        <v>10957</v>
      </c>
      <c r="N63" s="1975">
        <f t="shared" si="4"/>
        <v>10957</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775</v>
      </c>
      <c r="F65" s="1972"/>
      <c r="G65" s="2031"/>
      <c r="H65" s="2032"/>
      <c r="I65" s="2032"/>
      <c r="J65" s="2032"/>
      <c r="K65" s="2032"/>
      <c r="L65" s="2032"/>
      <c r="M65" s="2032">
        <v>775</v>
      </c>
      <c r="N65" s="1975">
        <f t="shared" si="4"/>
        <v>775</v>
      </c>
    </row>
    <row r="66" spans="1:14" ht="24" customHeight="1" x14ac:dyDescent="0.2">
      <c r="A66" s="2461" t="s">
        <v>469</v>
      </c>
      <c r="B66" s="2462"/>
      <c r="C66" s="2462"/>
      <c r="D66" s="1967">
        <v>2371</v>
      </c>
      <c r="E66" s="1977">
        <f>'Expenditures 15-22'!K328</f>
        <v>14384</v>
      </c>
      <c r="F66" s="1972"/>
      <c r="G66" s="2031"/>
      <c r="H66" s="2032"/>
      <c r="I66" s="2032"/>
      <c r="J66" s="2032"/>
      <c r="K66" s="2032"/>
      <c r="L66" s="2032"/>
      <c r="M66" s="2032">
        <v>14384</v>
      </c>
      <c r="N66" s="1975">
        <f t="shared" si="4"/>
        <v>14384</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33710</v>
      </c>
      <c r="F68" s="1973"/>
      <c r="G68" s="1974">
        <f t="shared" ref="G68:N68" si="5">SUM(G57:G67)</f>
        <v>0</v>
      </c>
      <c r="H68" s="1974">
        <f t="shared" si="5"/>
        <v>0</v>
      </c>
      <c r="I68" s="1974">
        <f t="shared" si="5"/>
        <v>0</v>
      </c>
      <c r="J68" s="1974">
        <f t="shared" si="5"/>
        <v>0</v>
      </c>
      <c r="K68" s="1974">
        <f t="shared" si="5"/>
        <v>0</v>
      </c>
      <c r="L68" s="1974">
        <f t="shared" si="5"/>
        <v>0</v>
      </c>
      <c r="M68" s="1974">
        <f t="shared" si="5"/>
        <v>33710</v>
      </c>
      <c r="N68" s="1988">
        <f t="shared" si="5"/>
        <v>33710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4" sqref="B14"/>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2077</v>
      </c>
    </row>
    <row r="6" spans="1:2" x14ac:dyDescent="0.2">
      <c r="A6" s="847">
        <v>2</v>
      </c>
      <c r="B6" s="307" t="s">
        <v>2078</v>
      </c>
    </row>
    <row r="7" spans="1:2" x14ac:dyDescent="0.2">
      <c r="A7" s="847">
        <v>3</v>
      </c>
      <c r="B7" s="307" t="s">
        <v>2079</v>
      </c>
    </row>
    <row r="8" spans="1:2" x14ac:dyDescent="0.2">
      <c r="A8" s="847">
        <v>4</v>
      </c>
      <c r="B8" s="307" t="s">
        <v>2080</v>
      </c>
    </row>
    <row r="9" spans="1:2" x14ac:dyDescent="0.2">
      <c r="A9" s="847">
        <v>5</v>
      </c>
      <c r="B9" s="307" t="s">
        <v>2081</v>
      </c>
    </row>
    <row r="10" spans="1:2" x14ac:dyDescent="0.2">
      <c r="A10" s="847">
        <v>6</v>
      </c>
      <c r="B10" s="307" t="s">
        <v>2082</v>
      </c>
    </row>
    <row r="11" spans="1:2" x14ac:dyDescent="0.2">
      <c r="A11" s="847">
        <v>7</v>
      </c>
      <c r="B11" s="307" t="s">
        <v>2083</v>
      </c>
    </row>
    <row r="12" spans="1:2" x14ac:dyDescent="0.2">
      <c r="A12" s="847">
        <v>8</v>
      </c>
      <c r="B12" s="307" t="s">
        <v>2084</v>
      </c>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Allen-Otter Creek CCSD 65</v>
      </c>
    </row>
    <row r="65" spans="2:2" x14ac:dyDescent="0.2">
      <c r="B65" s="849">
        <f>COVER!A13</f>
        <v>35050065004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6" sqref="I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3"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1084613</v>
      </c>
      <c r="C8" s="1813">
        <f>'Acct Summary 7-8'!D8</f>
        <v>194161</v>
      </c>
      <c r="D8" s="1813">
        <f>'Acct Summary 7-8'!F8</f>
        <v>148983</v>
      </c>
      <c r="E8" s="1813">
        <f>'Acct Summary 7-8'!I8</f>
        <v>25544</v>
      </c>
      <c r="F8" s="1813">
        <f>SUM(B8:E8)</f>
        <v>1453301</v>
      </c>
    </row>
    <row r="9" spans="1:8" s="858" customFormat="1" ht="14.25" customHeight="1" thickBot="1" x14ac:dyDescent="0.25">
      <c r="A9" s="857" t="s">
        <v>1353</v>
      </c>
      <c r="B9" s="1814">
        <f>'Acct Summary 7-8'!C17</f>
        <v>1275336</v>
      </c>
      <c r="C9" s="1814">
        <f>'Acct Summary 7-8'!D17</f>
        <v>146255</v>
      </c>
      <c r="D9" s="1814">
        <f>'Acct Summary 7-8'!F17</f>
        <v>137090</v>
      </c>
      <c r="E9" s="1813"/>
      <c r="F9" s="1813">
        <f>SUM(B9:E9)</f>
        <v>1558681</v>
      </c>
    </row>
    <row r="10" spans="1:8" s="858" customFormat="1" ht="14.25" thickTop="1" thickBot="1" x14ac:dyDescent="0.25">
      <c r="A10" s="859" t="s">
        <v>1354</v>
      </c>
      <c r="B10" s="1815">
        <f>(B8-B9)</f>
        <v>-190723</v>
      </c>
      <c r="C10" s="1815">
        <f>(C8-C9)</f>
        <v>47906</v>
      </c>
      <c r="D10" s="1815">
        <f>(D8-D9)</f>
        <v>11893</v>
      </c>
      <c r="E10" s="1814">
        <f>(E8-E9)</f>
        <v>25544</v>
      </c>
      <c r="F10" s="1816">
        <f>SUM(F8-F9)</f>
        <v>-105380</v>
      </c>
    </row>
    <row r="11" spans="1:8" s="858" customFormat="1" ht="14.25" thickTop="1" thickBot="1" x14ac:dyDescent="0.25">
      <c r="A11" s="860" t="s">
        <v>1903</v>
      </c>
      <c r="B11" s="1817">
        <f>'Acct Summary 7-8'!C81</f>
        <v>219281</v>
      </c>
      <c r="C11" s="1817">
        <f>'Acct Summary 7-8'!D81</f>
        <v>109777</v>
      </c>
      <c r="D11" s="1817">
        <f>'Acct Summary 7-8'!F81</f>
        <v>54725</v>
      </c>
      <c r="E11" s="1817">
        <f>'Acct Summary 7-8'!I81</f>
        <v>237214</v>
      </c>
      <c r="F11" s="1818">
        <f>SUM(B11:E11)</f>
        <v>620997</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1" colorId="8" zoomScale="110" zoomScaleNormal="110" workbookViewId="0">
      <selection activeCell="G12" sqref="G1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35050065004</v>
      </c>
      <c r="E2" s="1542">
        <v>2020</v>
      </c>
      <c r="F2" s="1542">
        <v>1</v>
      </c>
      <c r="G2" s="1899">
        <v>101000300</v>
      </c>
    </row>
    <row r="3" spans="1:7" ht="15" x14ac:dyDescent="0.25">
      <c r="A3" t="s">
        <v>950</v>
      </c>
      <c r="B3" s="135" t="str">
        <f>COVER!A15</f>
        <v>LaSalle</v>
      </c>
      <c r="E3" s="1830" t="s">
        <v>1971</v>
      </c>
      <c r="F3" s="1830" t="s">
        <v>1970</v>
      </c>
      <c r="G3" s="1899">
        <v>101000400</v>
      </c>
    </row>
    <row r="4" spans="1:7" ht="15" x14ac:dyDescent="0.25">
      <c r="A4" t="s">
        <v>1000</v>
      </c>
      <c r="B4" s="135" t="str">
        <f>COVER!A17</f>
        <v>Allen-Otter Creek CCSD 65</v>
      </c>
      <c r="E4" s="1828">
        <v>44119</v>
      </c>
      <c r="F4" s="1829">
        <v>44151</v>
      </c>
      <c r="G4" s="1899">
        <v>101000600</v>
      </c>
    </row>
    <row r="5" spans="1:7" ht="15" x14ac:dyDescent="0.25">
      <c r="A5" t="s">
        <v>699</v>
      </c>
      <c r="B5" s="135" t="str">
        <f>COVER!A38</f>
        <v>Mary Pat Baima</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066-005100</v>
      </c>
      <c r="G15" s="1899">
        <v>402100400</v>
      </c>
    </row>
    <row r="16" spans="1:7" ht="15" x14ac:dyDescent="0.25">
      <c r="A16" t="s">
        <v>419</v>
      </c>
      <c r="B16" s="135" t="str">
        <f>COVER!T13</f>
        <v>Mack &amp; Associates, P.C.</v>
      </c>
      <c r="G16" s="1899">
        <v>402100600</v>
      </c>
    </row>
    <row r="17" spans="1:7" ht="15" x14ac:dyDescent="0.25">
      <c r="A17" t="s">
        <v>878</v>
      </c>
      <c r="B17" s="135" t="str">
        <f>COVER!T15</f>
        <v>Tawnya Mack, CPA</v>
      </c>
      <c r="G17" s="1899">
        <v>402100800</v>
      </c>
    </row>
    <row r="18" spans="1:7" ht="15" x14ac:dyDescent="0.25">
      <c r="A18" t="s">
        <v>1140</v>
      </c>
      <c r="B18" s="135" t="str">
        <f>COVER!T17</f>
        <v>116 E Washington St. Suite One</v>
      </c>
      <c r="G18" s="1899">
        <v>102200300</v>
      </c>
    </row>
    <row r="19" spans="1:7" ht="15" x14ac:dyDescent="0.25">
      <c r="A19" t="s">
        <v>880</v>
      </c>
      <c r="B19" s="135" t="str">
        <f>COVER!T25</f>
        <v>tmack@mackcpas.com</v>
      </c>
      <c r="G19" s="1899">
        <v>102200400</v>
      </c>
    </row>
    <row r="20" spans="1:7" ht="15" x14ac:dyDescent="0.25">
      <c r="A20" t="s">
        <v>881</v>
      </c>
      <c r="B20" s="135" t="str">
        <f>COVER!T19</f>
        <v>Morris</v>
      </c>
      <c r="G20" s="1899">
        <v>102200600</v>
      </c>
    </row>
    <row r="21" spans="1:7" ht="15" x14ac:dyDescent="0.25">
      <c r="A21" t="s">
        <v>476</v>
      </c>
      <c r="B21" s="135" t="str">
        <f>COVER!X19</f>
        <v>IL</v>
      </c>
      <c r="G21" s="1899">
        <v>102200800</v>
      </c>
    </row>
    <row r="22" spans="1:7" ht="15" x14ac:dyDescent="0.25">
      <c r="A22" t="s">
        <v>882</v>
      </c>
      <c r="B22" s="135">
        <f>COVER!Z19</f>
        <v>60450</v>
      </c>
      <c r="G22" s="1899">
        <v>102300300</v>
      </c>
    </row>
    <row r="23" spans="1:7" ht="15" x14ac:dyDescent="0.25">
      <c r="A23" t="s">
        <v>1142</v>
      </c>
      <c r="B23" s="135" t="str">
        <f>COVER!T21</f>
        <v>815-942-3306</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Yes</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219281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40226</v>
      </c>
      <c r="D92" s="2" t="str">
        <f t="shared" si="0"/>
        <v>Error?</v>
      </c>
      <c r="G92" s="1899">
        <v>102640600</v>
      </c>
    </row>
    <row r="93" spans="1:7" ht="15" x14ac:dyDescent="0.25">
      <c r="A93" s="5">
        <v>32</v>
      </c>
      <c r="B93" s="1832">
        <f>'Assets-Liab 5-6'!C41</f>
        <v>219281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109777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109777</v>
      </c>
      <c r="D123" s="2" t="str">
        <f t="shared" si="0"/>
        <v>Error?</v>
      </c>
      <c r="G123" s="1899">
        <v>203000400</v>
      </c>
    </row>
    <row r="124" spans="1:7" ht="15" x14ac:dyDescent="0.25">
      <c r="A124" s="5">
        <v>63</v>
      </c>
      <c r="B124" s="1832">
        <f>'Assets-Liab 5-6'!D41</f>
        <v>109777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2924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2924</v>
      </c>
      <c r="D140" s="2" t="str">
        <f t="shared" si="1"/>
        <v>Error?</v>
      </c>
    </row>
    <row r="141" spans="1:7" x14ac:dyDescent="0.2">
      <c r="A141" s="5">
        <v>80</v>
      </c>
      <c r="B141" s="1832">
        <f>'Assets-Liab 5-6'!E41</f>
        <v>2924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54725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54725</v>
      </c>
      <c r="D170" s="2" t="str">
        <f t="shared" si="1"/>
        <v>Error?</v>
      </c>
    </row>
    <row r="171" spans="1:4" x14ac:dyDescent="0.2">
      <c r="A171" s="5">
        <v>110</v>
      </c>
      <c r="B171" s="1832">
        <f>'Assets-Liab 5-6'!F41</f>
        <v>54725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39190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39190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201200</v>
      </c>
      <c r="D273" s="2" t="str">
        <f t="shared" si="3"/>
        <v>Error?</v>
      </c>
    </row>
    <row r="274" spans="1:4" x14ac:dyDescent="0.2">
      <c r="A274" s="5">
        <v>213</v>
      </c>
      <c r="B274" s="1832">
        <f>'Assets-Liab 5-6'!M17</f>
        <v>650500</v>
      </c>
      <c r="D274" s="2" t="str">
        <f t="shared" si="3"/>
        <v>Error?</v>
      </c>
    </row>
    <row r="275" spans="1:4" x14ac:dyDescent="0.2">
      <c r="A275" s="5">
        <v>214</v>
      </c>
      <c r="B275" s="1832">
        <f>'Assets-Liab 5-6'!M18</f>
        <v>46415</v>
      </c>
      <c r="D275" s="2" t="str">
        <f t="shared" si="3"/>
        <v>Error?</v>
      </c>
    </row>
    <row r="276" spans="1:4" x14ac:dyDescent="0.2">
      <c r="A276" s="5">
        <v>215</v>
      </c>
      <c r="B276" s="1832">
        <f>'Assets-Liab 5-6'!M19</f>
        <v>55065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953180</v>
      </c>
      <c r="C279" s="2" t="s">
        <v>569</v>
      </c>
      <c r="D279" s="2" t="str">
        <f t="shared" si="3"/>
        <v>Error?</v>
      </c>
    </row>
    <row r="280" spans="1:4" x14ac:dyDescent="0.2">
      <c r="A280" s="5">
        <v>219</v>
      </c>
      <c r="B280" s="1832">
        <f>'Assets-Liab 5-6'!M40</f>
        <v>953180</v>
      </c>
      <c r="D280" s="2" t="str">
        <f t="shared" si="3"/>
        <v>Error?</v>
      </c>
    </row>
    <row r="281" spans="1:4" x14ac:dyDescent="0.2">
      <c r="A281" s="5">
        <v>220</v>
      </c>
      <c r="B281" s="1832">
        <f>'Assets-Liab 5-6'!M41</f>
        <v>953180</v>
      </c>
      <c r="C281" s="2" t="s">
        <v>569</v>
      </c>
      <c r="D281" s="2" t="str">
        <f t="shared" si="3"/>
        <v>Error?</v>
      </c>
    </row>
    <row r="282" spans="1:4" x14ac:dyDescent="0.2">
      <c r="A282" s="5">
        <v>221</v>
      </c>
      <c r="B282" s="1832">
        <f>'Assets-Liab 5-6'!N21</f>
        <v>2924</v>
      </c>
      <c r="D282" s="2" t="str">
        <f t="shared" si="3"/>
        <v>Error?</v>
      </c>
    </row>
    <row r="283" spans="1:4" x14ac:dyDescent="0.2">
      <c r="A283" s="5">
        <v>222</v>
      </c>
      <c r="B283" s="1832">
        <f>'Assets-Liab 5-6'!N22</f>
        <v>102076</v>
      </c>
      <c r="D283" s="2" t="str">
        <f t="shared" si="3"/>
        <v>Error?</v>
      </c>
    </row>
    <row r="284" spans="1:4" x14ac:dyDescent="0.2">
      <c r="A284" s="5">
        <v>223</v>
      </c>
      <c r="B284" s="1832">
        <f>'Assets-Liab 5-6'!N23</f>
        <v>105000</v>
      </c>
      <c r="C284" s="2" t="s">
        <v>569</v>
      </c>
      <c r="D284" s="2" t="str">
        <f t="shared" si="3"/>
        <v>Error?</v>
      </c>
    </row>
    <row r="285" spans="1:4" x14ac:dyDescent="0.2">
      <c r="A285" s="5">
        <v>224</v>
      </c>
      <c r="B285" s="1832">
        <f>'Assets-Liab 5-6'!N36</f>
        <v>105000</v>
      </c>
      <c r="D285" s="2" t="str">
        <f t="shared" si="3"/>
        <v>Error?</v>
      </c>
    </row>
    <row r="286" spans="1:4" x14ac:dyDescent="0.2">
      <c r="A286" s="10">
        <v>225</v>
      </c>
      <c r="B286" s="1832"/>
      <c r="D286" s="2" t="str">
        <f t="shared" si="3"/>
        <v>OK</v>
      </c>
    </row>
    <row r="287" spans="1:4" x14ac:dyDescent="0.2">
      <c r="A287" s="5">
        <v>226</v>
      </c>
      <c r="B287" s="1832">
        <f>'Assets-Liab 5-6'!N37</f>
        <v>105000</v>
      </c>
      <c r="C287" s="2" t="s">
        <v>569</v>
      </c>
      <c r="D287" s="2" t="str">
        <f t="shared" si="3"/>
        <v>Error?</v>
      </c>
    </row>
    <row r="288" spans="1:4" x14ac:dyDescent="0.2">
      <c r="A288" s="5">
        <v>227</v>
      </c>
      <c r="B288" s="1832">
        <f>'Assets-Liab 5-6'!N41</f>
        <v>105000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547514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12803</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637212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1000</v>
      </c>
      <c r="D724" s="2" t="str">
        <f t="shared" si="10"/>
        <v>Error?</v>
      </c>
    </row>
    <row r="725" spans="1:4" x14ac:dyDescent="0.2">
      <c r="A725" s="5">
        <v>664</v>
      </c>
      <c r="B725" s="1832">
        <f>'Expenditures 15-22'!C40</f>
        <v>44200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45200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59187</v>
      </c>
      <c r="D733" s="2" t="str">
        <f t="shared" si="10"/>
        <v>Error?</v>
      </c>
    </row>
    <row r="734" spans="1:4" x14ac:dyDescent="0.2">
      <c r="A734" s="5">
        <v>673</v>
      </c>
      <c r="B734" s="1832">
        <f>'Expenditures 15-22'!C53</f>
        <v>59187</v>
      </c>
      <c r="C734" s="2" t="s">
        <v>569</v>
      </c>
      <c r="D734" s="2" t="str">
        <f t="shared" si="10"/>
        <v>Error?</v>
      </c>
    </row>
    <row r="735" spans="1:4" x14ac:dyDescent="0.2">
      <c r="A735" s="5">
        <v>674</v>
      </c>
      <c r="B735" s="1832">
        <f>'Expenditures 15-22'!C55</f>
        <v>73044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73044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39726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25792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65518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242949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880161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55677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61902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1105</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1105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1096</v>
      </c>
      <c r="D791" s="2" t="str">
        <f t="shared" si="11"/>
        <v>Error?</v>
      </c>
    </row>
    <row r="792" spans="1:4" x14ac:dyDescent="0.2">
      <c r="A792" s="5">
        <v>731</v>
      </c>
      <c r="B792" s="1832">
        <f>'Expenditures 15-22'!D53</f>
        <v>1096</v>
      </c>
      <c r="C792" s="2" t="s">
        <v>569</v>
      </c>
      <c r="D792" s="2" t="str">
        <f t="shared" si="11"/>
        <v>Error?</v>
      </c>
    </row>
    <row r="793" spans="1:4" x14ac:dyDescent="0.2">
      <c r="A793" s="5">
        <v>732</v>
      </c>
      <c r="B793" s="1832">
        <f>'Expenditures 15-22'!D55</f>
        <v>1096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1096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3297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65199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46112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4283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53600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3771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3771</v>
      </c>
      <c r="C847" s="2" t="s">
        <v>569</v>
      </c>
      <c r="D847" s="2" t="str">
        <f t="shared" si="12"/>
        <v>Error?</v>
      </c>
    </row>
    <row r="848" spans="1:4" x14ac:dyDescent="0.2">
      <c r="A848" s="5">
        <v>787</v>
      </c>
      <c r="B848" s="1832">
        <f>'Expenditures 15-22'!E49</f>
        <v>16252</v>
      </c>
      <c r="D848" s="2" t="str">
        <f t="shared" si="12"/>
        <v>Error?</v>
      </c>
    </row>
    <row r="849" spans="1:4" x14ac:dyDescent="0.2">
      <c r="A849" s="5">
        <v>788</v>
      </c>
      <c r="B849" s="1832">
        <f>'Expenditures 15-22'!E50</f>
        <v>11938</v>
      </c>
      <c r="D849" s="2" t="str">
        <f t="shared" si="12"/>
        <v>Error?</v>
      </c>
    </row>
    <row r="850" spans="1:4" x14ac:dyDescent="0.2">
      <c r="A850" s="5">
        <v>789</v>
      </c>
      <c r="B850" s="1832">
        <f>'Expenditures 15-22'!E53</f>
        <v>28190</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762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762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32723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168184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19284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2144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24759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2393</v>
      </c>
      <c r="D906" s="2" t="str">
        <f t="shared" si="13"/>
        <v>Error?</v>
      </c>
    </row>
    <row r="907" spans="1:4" x14ac:dyDescent="0.2">
      <c r="A907" s="5">
        <v>846</v>
      </c>
      <c r="B907" s="1832">
        <f>'Expenditures 15-22'!F50</f>
        <v>3118</v>
      </c>
      <c r="D907" s="2" t="str">
        <f t="shared" si="13"/>
        <v>Error?</v>
      </c>
    </row>
    <row r="908" spans="1:4" x14ac:dyDescent="0.2">
      <c r="A908" s="5">
        <v>847</v>
      </c>
      <c r="B908" s="1832">
        <f>'Expenditures 15-22'!F53</f>
        <v>5511</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28080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28080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600</v>
      </c>
      <c r="D928" s="2" t="str">
        <f t="shared" si="13"/>
        <v>Error?</v>
      </c>
    </row>
    <row r="929" spans="1:4" x14ac:dyDescent="0.2">
      <c r="A929" s="5">
        <v>868</v>
      </c>
      <c r="B929" s="1832">
        <f>'Expenditures 15-22'!F74</f>
        <v>34191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58950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1703</v>
      </c>
      <c r="D965" s="2" t="str">
        <f t="shared" si="14"/>
        <v>Error?</v>
      </c>
    </row>
    <row r="966" spans="1:4" x14ac:dyDescent="0.2">
      <c r="A966" s="5">
        <v>905</v>
      </c>
      <c r="B966" s="1832">
        <f>'Expenditures 15-22'!G53</f>
        <v>1703</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918</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918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2621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2621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1260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3480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94184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3268</v>
      </c>
      <c r="D1022" s="2" t="str">
        <f t="shared" si="14"/>
        <v>Error?</v>
      </c>
    </row>
    <row r="1023" spans="1:4" x14ac:dyDescent="0.2">
      <c r="A1023" s="5">
        <v>962</v>
      </c>
      <c r="B1023" s="1832">
        <f>'Expenditures 15-22'!H50</f>
        <v>2705</v>
      </c>
      <c r="D1023" s="2" t="str">
        <f t="shared" ref="D1023:D1086" si="15">IF(ISBLANK(B1023),"OK",IF(A1023-B1023=0,"OK","Error?"))</f>
        <v>Error?</v>
      </c>
    </row>
    <row r="1024" spans="1:4" x14ac:dyDescent="0.2">
      <c r="A1024" s="5">
        <v>963</v>
      </c>
      <c r="B1024" s="1832">
        <f>'Expenditures 15-22'!H53</f>
        <v>5973</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64</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64</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6037</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100221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669847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22717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871657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1000</v>
      </c>
      <c r="C1112" s="2" t="s">
        <v>569</v>
      </c>
      <c r="D1112" s="2" t="str">
        <f t="shared" si="16"/>
        <v>Error?</v>
      </c>
    </row>
    <row r="1113" spans="1:4" x14ac:dyDescent="0.2">
      <c r="A1113" s="5">
        <v>1052</v>
      </c>
      <c r="B1113" s="1832">
        <f>'Expenditures 15-22'!K40</f>
        <v>44200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45200</v>
      </c>
      <c r="C1115" s="2" t="s">
        <v>569</v>
      </c>
      <c r="D1115" s="2" t="str">
        <f t="shared" si="16"/>
        <v>Error?</v>
      </c>
    </row>
    <row r="1116" spans="1:4" x14ac:dyDescent="0.2">
      <c r="A1116" s="5">
        <v>1055</v>
      </c>
      <c r="B1116" s="1832">
        <f>'Expenditures 15-22'!K44</f>
        <v>4876</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4876</v>
      </c>
      <c r="C1119" s="2" t="s">
        <v>569</v>
      </c>
      <c r="D1119" s="2" t="str">
        <f t="shared" si="16"/>
        <v>Error?</v>
      </c>
    </row>
    <row r="1120" spans="1:4" x14ac:dyDescent="0.2">
      <c r="A1120" s="5">
        <v>1059</v>
      </c>
      <c r="B1120" s="1832">
        <f>'Expenditures 15-22'!K49</f>
        <v>21913</v>
      </c>
      <c r="C1120" s="2" t="s">
        <v>569</v>
      </c>
      <c r="D1120" s="2" t="str">
        <f t="shared" si="16"/>
        <v>Error?</v>
      </c>
    </row>
    <row r="1121" spans="1:4" x14ac:dyDescent="0.2">
      <c r="A1121" s="5">
        <v>1060</v>
      </c>
      <c r="B1121" s="1832">
        <f>'Expenditures 15-22'!K50</f>
        <v>79747</v>
      </c>
      <c r="C1121" s="2" t="s">
        <v>569</v>
      </c>
      <c r="D1121" s="2" t="str">
        <f t="shared" si="16"/>
        <v>Error?</v>
      </c>
    </row>
    <row r="1122" spans="1:4" x14ac:dyDescent="0.2">
      <c r="A1122" s="5">
        <v>1061</v>
      </c>
      <c r="B1122" s="1832">
        <f>'Expenditures 15-22'!K53</f>
        <v>101660</v>
      </c>
      <c r="C1122" s="2" t="s">
        <v>569</v>
      </c>
      <c r="D1122" s="2" t="str">
        <f t="shared" si="16"/>
        <v>Error?</v>
      </c>
    </row>
    <row r="1123" spans="1:4" x14ac:dyDescent="0.2">
      <c r="A1123" s="5">
        <v>1062</v>
      </c>
      <c r="B1123" s="1832">
        <f>'Expenditures 15-22'!K55</f>
        <v>74140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74140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39726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55616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95342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600</v>
      </c>
      <c r="C1142" s="2" t="s">
        <v>569</v>
      </c>
      <c r="D1142" s="2" t="str">
        <f t="shared" si="16"/>
        <v>Error?</v>
      </c>
    </row>
    <row r="1143" spans="1:4" x14ac:dyDescent="0.2">
      <c r="A1143" s="5">
        <v>1082</v>
      </c>
      <c r="B1143" s="1832">
        <f>'Expenditures 15-22'!K74</f>
        <v>321818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81861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1275336</v>
      </c>
      <c r="C1152" s="2" t="s">
        <v>569</v>
      </c>
      <c r="D1152" s="2" t="str">
        <f t="shared" si="17"/>
        <v>Error?</v>
      </c>
    </row>
    <row r="1153" spans="1:4" x14ac:dyDescent="0.2">
      <c r="A1153" s="5">
        <v>1092</v>
      </c>
      <c r="B1153" s="1832">
        <f>'Expenditures 15-22'!K115</f>
        <v>-190723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26000</v>
      </c>
      <c r="D1221" s="2" t="str">
        <f t="shared" si="18"/>
        <v>Error?</v>
      </c>
    </row>
    <row r="1222" spans="1:4" x14ac:dyDescent="0.2">
      <c r="A1222" s="10">
        <v>1161</v>
      </c>
      <c r="B1222" s="1832"/>
      <c r="D1222" s="2" t="str">
        <f t="shared" si="18"/>
        <v>OK</v>
      </c>
    </row>
    <row r="1223" spans="1:4" x14ac:dyDescent="0.2">
      <c r="A1223" s="5">
        <v>1162</v>
      </c>
      <c r="B1223" s="1832">
        <f>'Expenditures 15-22'!C127</f>
        <v>26000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26000</v>
      </c>
      <c r="C1225" s="2" t="s">
        <v>569</v>
      </c>
      <c r="D1225" s="2" t="str">
        <f t="shared" si="18"/>
        <v>Error?</v>
      </c>
    </row>
    <row r="1226" spans="1:4" x14ac:dyDescent="0.2">
      <c r="A1226" s="5">
        <v>1165</v>
      </c>
      <c r="B1226" s="1832">
        <f>'Expenditures 15-22'!C151</f>
        <v>26000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80339</v>
      </c>
      <c r="D1237" s="2" t="str">
        <f t="shared" si="18"/>
        <v>Error?</v>
      </c>
    </row>
    <row r="1238" spans="1:4" x14ac:dyDescent="0.2">
      <c r="A1238" s="10">
        <v>1177</v>
      </c>
      <c r="B1238" s="1832"/>
      <c r="D1238" s="2" t="str">
        <f t="shared" si="18"/>
        <v>OK</v>
      </c>
    </row>
    <row r="1239" spans="1:4" x14ac:dyDescent="0.2">
      <c r="A1239" s="5">
        <v>1178</v>
      </c>
      <c r="B1239" s="1832">
        <f>'Expenditures 15-22'!E127</f>
        <v>80339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80339</v>
      </c>
      <c r="C1241" s="2" t="s">
        <v>569</v>
      </c>
      <c r="D1241" s="2" t="str">
        <f t="shared" si="18"/>
        <v>Error?</v>
      </c>
    </row>
    <row r="1242" spans="1:4" x14ac:dyDescent="0.2">
      <c r="A1242" s="5">
        <v>1181</v>
      </c>
      <c r="B1242" s="1832">
        <f>'Expenditures 15-22'!E151</f>
        <v>80339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21826</v>
      </c>
      <c r="D1245" s="2" t="str">
        <f t="shared" si="18"/>
        <v>Error?</v>
      </c>
    </row>
    <row r="1246" spans="1:4" x14ac:dyDescent="0.2">
      <c r="A1246" s="10">
        <v>1185</v>
      </c>
      <c r="B1246" s="1832"/>
      <c r="D1246" s="2" t="str">
        <f t="shared" si="18"/>
        <v>OK</v>
      </c>
    </row>
    <row r="1247" spans="1:4" x14ac:dyDescent="0.2">
      <c r="A1247" s="5">
        <v>1186</v>
      </c>
      <c r="B1247" s="1832">
        <f>'Expenditures 15-22'!F127</f>
        <v>21826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21826</v>
      </c>
      <c r="C1249" s="2" t="s">
        <v>569</v>
      </c>
      <c r="D1249" s="2" t="str">
        <f t="shared" si="18"/>
        <v>Error?</v>
      </c>
    </row>
    <row r="1250" spans="1:4" x14ac:dyDescent="0.2">
      <c r="A1250" s="5">
        <v>1189</v>
      </c>
      <c r="B1250" s="1832">
        <f>'Expenditures 15-22'!F151</f>
        <v>21826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18090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18090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18090</v>
      </c>
      <c r="C1258" s="2" t="s">
        <v>569</v>
      </c>
      <c r="D1258" s="2" t="str">
        <f t="shared" si="18"/>
        <v>Error?</v>
      </c>
    </row>
    <row r="1259" spans="1:4" x14ac:dyDescent="0.2">
      <c r="A1259" s="5">
        <v>1198</v>
      </c>
      <c r="B1259" s="1832">
        <f>'Expenditures 15-22'!G151</f>
        <v>18090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146255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146255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146255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146255</v>
      </c>
      <c r="C1288" s="2" t="s">
        <v>569</v>
      </c>
      <c r="D1288" s="2" t="str">
        <f t="shared" si="19"/>
        <v>Error?</v>
      </c>
    </row>
    <row r="1289" spans="1:4" x14ac:dyDescent="0.2">
      <c r="A1289" s="5">
        <v>1228</v>
      </c>
      <c r="B1289" s="1832">
        <f>'Expenditures 15-22'!K152</f>
        <v>47906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4525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100000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105025</v>
      </c>
      <c r="C1317" s="2" t="s">
        <v>569</v>
      </c>
      <c r="D1317" s="2" t="str">
        <f t="shared" si="19"/>
        <v>Error?</v>
      </c>
    </row>
    <row r="1318" spans="1:4" x14ac:dyDescent="0.2">
      <c r="A1318" s="5">
        <v>1257</v>
      </c>
      <c r="B1318" s="1832">
        <f>'Expenditures 15-22'!H174</f>
        <v>105025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4525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100000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105025</v>
      </c>
      <c r="C1331" s="2" t="s">
        <v>569</v>
      </c>
      <c r="D1331" s="2" t="str">
        <f t="shared" si="19"/>
        <v>Error?</v>
      </c>
    </row>
    <row r="1332" spans="1:4" x14ac:dyDescent="0.2">
      <c r="A1332" s="5">
        <v>1271</v>
      </c>
      <c r="B1332" s="1832">
        <f>'Expenditures 15-22'!K174</f>
        <v>105025</v>
      </c>
      <c r="C1332" s="2" t="s">
        <v>569</v>
      </c>
      <c r="D1332" s="2" t="str">
        <f t="shared" si="19"/>
        <v>Error?</v>
      </c>
    </row>
    <row r="1333" spans="1:4" x14ac:dyDescent="0.2">
      <c r="A1333" s="5">
        <v>1272</v>
      </c>
      <c r="B1333" s="1832">
        <f>'Expenditures 15-22'!K175</f>
        <v>-67182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2900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2900</v>
      </c>
      <c r="C1339" s="2" t="s">
        <v>569</v>
      </c>
      <c r="D1339" s="2" t="str">
        <f t="shared" si="19"/>
        <v>Error?</v>
      </c>
    </row>
    <row r="1340" spans="1:4" x14ac:dyDescent="0.2">
      <c r="A1340" s="5">
        <v>1279</v>
      </c>
      <c r="B1340" s="1832">
        <f>'Expenditures 15-22'!C210</f>
        <v>2900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134190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134190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134190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137090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137090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137090</v>
      </c>
      <c r="C1388" s="2" t="s">
        <v>569</v>
      </c>
      <c r="D1388" s="2" t="str">
        <f t="shared" si="20"/>
        <v>Error?</v>
      </c>
    </row>
    <row r="1389" spans="1:4" x14ac:dyDescent="0.2">
      <c r="A1389" s="5">
        <v>1328</v>
      </c>
      <c r="B1389" s="1832">
        <f>'Expenditures 15-22'!K211</f>
        <v>11893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1420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13300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641</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641</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1062</v>
      </c>
      <c r="D1423" s="2" t="str">
        <f t="shared" si="21"/>
        <v>Error?</v>
      </c>
    </row>
    <row r="1424" spans="1:4" x14ac:dyDescent="0.2">
      <c r="A1424" s="5">
        <v>1363</v>
      </c>
      <c r="B1424" s="1832">
        <f>'Expenditures 15-22'!D257</f>
        <v>1062</v>
      </c>
      <c r="C1424" s="2" t="s">
        <v>569</v>
      </c>
      <c r="D1424" s="2" t="str">
        <f t="shared" si="21"/>
        <v>Error?</v>
      </c>
    </row>
    <row r="1425" spans="1:4" x14ac:dyDescent="0.2">
      <c r="A1425" s="5">
        <v>1364</v>
      </c>
      <c r="B1425" s="1832">
        <f>'Expenditures 15-22'!D259</f>
        <v>1059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1059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5005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3835</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3447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12287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15049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28349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1420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13300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641</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641</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1062</v>
      </c>
      <c r="C1487" s="2" t="s">
        <v>569</v>
      </c>
      <c r="D1487" s="2" t="str">
        <f t="shared" si="22"/>
        <v>Error?</v>
      </c>
    </row>
    <row r="1488" spans="1:4" x14ac:dyDescent="0.2">
      <c r="A1488" s="5">
        <v>1427</v>
      </c>
      <c r="B1488" s="1832">
        <f>'Expenditures 15-22'!K257</f>
        <v>1062</v>
      </c>
      <c r="C1488" s="2" t="s">
        <v>569</v>
      </c>
      <c r="D1488" s="2" t="str">
        <f t="shared" si="22"/>
        <v>Error?</v>
      </c>
    </row>
    <row r="1489" spans="1:4" x14ac:dyDescent="0.2">
      <c r="A1489" s="5">
        <v>1428</v>
      </c>
      <c r="B1489" s="1832">
        <f>'Expenditures 15-22'!K259</f>
        <v>1059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1059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5005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3835</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3447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12287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15049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28349</v>
      </c>
      <c r="C1517" s="2" t="s">
        <v>569</v>
      </c>
      <c r="D1517" s="2" t="str">
        <f t="shared" si="22"/>
        <v>Error?</v>
      </c>
    </row>
    <row r="1518" spans="1:4" x14ac:dyDescent="0.2">
      <c r="A1518" s="5">
        <v>1457</v>
      </c>
      <c r="B1518" s="1832">
        <f>'Expenditures 15-22'!K296</f>
        <v>14155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409624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219281</v>
      </c>
      <c r="C1630" s="2" t="s">
        <v>569</v>
      </c>
      <c r="D1630" s="2" t="str">
        <f t="shared" si="24"/>
        <v>Error?</v>
      </c>
    </row>
    <row r="1631" spans="1:4" x14ac:dyDescent="0.2">
      <c r="A1631" s="5">
        <v>1570</v>
      </c>
      <c r="B1631" s="1832">
        <f>'Acct Summary 7-8'!D79</f>
        <v>61871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109777</v>
      </c>
      <c r="C1644" s="2" t="s">
        <v>569</v>
      </c>
      <c r="D1644" s="2" t="str">
        <f t="shared" si="24"/>
        <v>Error?</v>
      </c>
    </row>
    <row r="1645" spans="1:4" x14ac:dyDescent="0.2">
      <c r="A1645" s="5">
        <v>1584</v>
      </c>
      <c r="B1645" s="1832">
        <f>'Acct Summary 7-8'!E79</f>
        <v>69486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2924</v>
      </c>
      <c r="C1658" s="2" t="s">
        <v>569</v>
      </c>
      <c r="D1658" s="2" t="str">
        <f t="shared" si="24"/>
        <v>Error?</v>
      </c>
    </row>
    <row r="1659" spans="1:4" x14ac:dyDescent="0.2">
      <c r="A1659" s="5">
        <v>1598</v>
      </c>
      <c r="B1659" s="1832">
        <f>'Acct Summary 7-8'!F79</f>
        <v>32832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54725</v>
      </c>
      <c r="C1672" s="2" t="s">
        <v>569</v>
      </c>
      <c r="D1672" s="2" t="str">
        <f t="shared" si="25"/>
        <v>Error?</v>
      </c>
    </row>
    <row r="1673" spans="1:4" x14ac:dyDescent="0.2">
      <c r="A1673" s="5">
        <v>1612</v>
      </c>
      <c r="B1673" s="1832">
        <f>'Acct Summary 7-8'!G79</f>
        <v>25035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39190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722070</v>
      </c>
      <c r="C1744" s="2" t="s">
        <v>569</v>
      </c>
      <c r="D1744" s="2" t="str">
        <f t="shared" si="26"/>
        <v>Error?</v>
      </c>
    </row>
    <row r="1745" spans="1:5" x14ac:dyDescent="0.2">
      <c r="A1745" s="5">
        <v>1684</v>
      </c>
      <c r="B1745" s="1832">
        <f>'Tax Sched 23'!B5</f>
        <v>193722</v>
      </c>
      <c r="C1745" s="2" t="s">
        <v>569</v>
      </c>
      <c r="D1745" s="2" t="str">
        <f t="shared" si="26"/>
        <v>Error?</v>
      </c>
    </row>
    <row r="1746" spans="1:5" x14ac:dyDescent="0.2">
      <c r="A1746" s="5">
        <v>1685</v>
      </c>
      <c r="B1746" s="1832">
        <f>'Tax Sched 23'!B6</f>
        <v>37760</v>
      </c>
      <c r="C1746" s="2" t="s">
        <v>569</v>
      </c>
      <c r="D1746" s="2" t="str">
        <f t="shared" si="26"/>
        <v>Error?</v>
      </c>
    </row>
    <row r="1747" spans="1:5" x14ac:dyDescent="0.2">
      <c r="A1747" s="5">
        <v>1686</v>
      </c>
      <c r="B1747" s="1832">
        <f>'Tax Sched 23'!B7</f>
        <v>61019</v>
      </c>
      <c r="C1747" s="2" t="s">
        <v>569</v>
      </c>
      <c r="D1747" s="2" t="str">
        <f t="shared" si="26"/>
        <v>Error?</v>
      </c>
    </row>
    <row r="1748" spans="1:5" x14ac:dyDescent="0.2">
      <c r="A1748" s="5">
        <v>1687</v>
      </c>
      <c r="B1748" s="1832">
        <f>'Tax Sched 23'!B8</f>
        <v>20386</v>
      </c>
      <c r="C1748" s="2" t="s">
        <v>569</v>
      </c>
      <c r="D1748" s="2" t="str">
        <f t="shared" si="26"/>
        <v>Error?</v>
      </c>
    </row>
    <row r="1749" spans="1:5" x14ac:dyDescent="0.2">
      <c r="A1749" s="5">
        <v>1688</v>
      </c>
      <c r="B1749" s="1832">
        <f>'Tax Sched 23'!B10</f>
        <v>25425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40767</v>
      </c>
      <c r="C1752" s="2" t="s">
        <v>569</v>
      </c>
      <c r="D1752" s="2" t="str">
        <f t="shared" si="26"/>
        <v>Error?</v>
      </c>
    </row>
    <row r="1753" spans="1:5" x14ac:dyDescent="0.2">
      <c r="A1753" s="5">
        <v>1692</v>
      </c>
      <c r="B1753" s="1832">
        <f>'Tax Sched 23'!B12</f>
        <v>25425</v>
      </c>
      <c r="C1753" s="2" t="s">
        <v>569</v>
      </c>
      <c r="D1753" s="2" t="str">
        <f t="shared" si="26"/>
        <v>Error?</v>
      </c>
    </row>
    <row r="1754" spans="1:5" x14ac:dyDescent="0.2">
      <c r="A1754" s="5">
        <v>1693</v>
      </c>
      <c r="B1754" s="1832">
        <f>'Tax Sched 23'!B14</f>
        <v>10195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1169019</v>
      </c>
      <c r="C1759" s="2" t="s">
        <v>569</v>
      </c>
      <c r="D1759" s="2" t="str">
        <f t="shared" si="26"/>
        <v>Error?</v>
      </c>
    </row>
    <row r="1760" spans="1:5" x14ac:dyDescent="0.2">
      <c r="A1760" s="5">
        <v>1699</v>
      </c>
      <c r="B1760" s="1832">
        <f>'Tax Sched 23'!D4</f>
        <v>722070</v>
      </c>
      <c r="C1760" s="2" t="s">
        <v>569</v>
      </c>
      <c r="D1760" s="2" t="str">
        <f t="shared" si="26"/>
        <v>Error?</v>
      </c>
    </row>
    <row r="1761" spans="1:7" x14ac:dyDescent="0.2">
      <c r="A1761" s="5">
        <v>1700</v>
      </c>
      <c r="B1761" s="1832">
        <f>'Tax Sched 23'!D5</f>
        <v>193722</v>
      </c>
      <c r="C1761" s="2" t="s">
        <v>569</v>
      </c>
      <c r="D1761" s="2" t="str">
        <f t="shared" si="26"/>
        <v>Error?</v>
      </c>
    </row>
    <row r="1762" spans="1:7" s="8" customFormat="1" x14ac:dyDescent="0.2">
      <c r="A1762" s="5">
        <v>1701</v>
      </c>
      <c r="B1762" s="1832">
        <f>'Tax Sched 23'!D6</f>
        <v>37760</v>
      </c>
      <c r="C1762" s="2" t="s">
        <v>569</v>
      </c>
      <c r="D1762" s="2" t="str">
        <f t="shared" si="26"/>
        <v>Error?</v>
      </c>
      <c r="E1762" s="9"/>
      <c r="G1762"/>
    </row>
    <row r="1763" spans="1:7" x14ac:dyDescent="0.2">
      <c r="A1763" s="5">
        <v>1702</v>
      </c>
      <c r="B1763" s="1832">
        <f>'Tax Sched 23'!D7</f>
        <v>61019</v>
      </c>
      <c r="C1763" s="2" t="s">
        <v>569</v>
      </c>
      <c r="D1763" s="2" t="str">
        <f t="shared" si="26"/>
        <v>Error?</v>
      </c>
    </row>
    <row r="1764" spans="1:7" x14ac:dyDescent="0.2">
      <c r="A1764" s="5">
        <v>1703</v>
      </c>
      <c r="B1764" s="1832">
        <f>'Tax Sched 23'!D8</f>
        <v>20386</v>
      </c>
      <c r="C1764" s="2" t="s">
        <v>569</v>
      </c>
      <c r="D1764" s="2" t="str">
        <f t="shared" si="26"/>
        <v>Error?</v>
      </c>
    </row>
    <row r="1765" spans="1:7" x14ac:dyDescent="0.2">
      <c r="A1765" s="5">
        <v>1704</v>
      </c>
      <c r="B1765" s="1832">
        <f>'Tax Sched 23'!D10</f>
        <v>25425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40767</v>
      </c>
      <c r="C1768" s="2" t="s">
        <v>569</v>
      </c>
      <c r="D1768" s="2" t="str">
        <f t="shared" si="26"/>
        <v>Error?</v>
      </c>
    </row>
    <row r="1769" spans="1:7" x14ac:dyDescent="0.2">
      <c r="A1769" s="5">
        <v>1708</v>
      </c>
      <c r="B1769" s="1832">
        <f>'Tax Sched 23'!D12</f>
        <v>25425</v>
      </c>
      <c r="C1769" s="2" t="s">
        <v>569</v>
      </c>
      <c r="D1769" s="2" t="str">
        <f t="shared" si="26"/>
        <v>Error?</v>
      </c>
    </row>
    <row r="1770" spans="1:7" x14ac:dyDescent="0.2">
      <c r="A1770" s="5">
        <v>1709</v>
      </c>
      <c r="B1770" s="1832">
        <f>'Tax Sched 23'!D14</f>
        <v>10195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1169019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747302</v>
      </c>
      <c r="C1792" s="2" t="s">
        <v>569</v>
      </c>
      <c r="D1792" s="2" t="str">
        <f t="shared" si="27"/>
        <v>Error?</v>
      </c>
    </row>
    <row r="1793" spans="1:4" x14ac:dyDescent="0.2">
      <c r="A1793" s="5">
        <v>1732</v>
      </c>
      <c r="B1793" s="1832">
        <f>'Tax Sched 23'!F5</f>
        <v>157901</v>
      </c>
      <c r="C1793" s="2" t="s">
        <v>569</v>
      </c>
      <c r="D1793" s="2" t="str">
        <f t="shared" si="27"/>
        <v>Error?</v>
      </c>
    </row>
    <row r="1794" spans="1:4" x14ac:dyDescent="0.2">
      <c r="A1794" s="5">
        <v>1733</v>
      </c>
      <c r="B1794" s="1832">
        <f>'Tax Sched 23'!F6</f>
        <v>106575</v>
      </c>
      <c r="C1794" s="2" t="s">
        <v>569</v>
      </c>
      <c r="D1794" s="2" t="str">
        <f t="shared" si="27"/>
        <v>Error?</v>
      </c>
    </row>
    <row r="1795" spans="1:4" x14ac:dyDescent="0.2">
      <c r="A1795" s="5">
        <v>1734</v>
      </c>
      <c r="B1795" s="1832">
        <f>'Tax Sched 23'!F7</f>
        <v>63003</v>
      </c>
      <c r="C1795" s="2" t="s">
        <v>569</v>
      </c>
      <c r="D1795" s="2" t="str">
        <f t="shared" si="27"/>
        <v>Error?</v>
      </c>
    </row>
    <row r="1796" spans="1:4" x14ac:dyDescent="0.2">
      <c r="A1796" s="5">
        <v>1735</v>
      </c>
      <c r="B1796" s="1832">
        <f>'Tax Sched 23'!F8</f>
        <v>21001</v>
      </c>
      <c r="C1796" s="2" t="s">
        <v>569</v>
      </c>
      <c r="D1796" s="2" t="str">
        <f t="shared" si="27"/>
        <v>Error?</v>
      </c>
    </row>
    <row r="1797" spans="1:4" x14ac:dyDescent="0.2">
      <c r="A1797" s="5">
        <v>1736</v>
      </c>
      <c r="B1797" s="1832">
        <f>'Tax Sched 23'!F10</f>
        <v>26200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41001</v>
      </c>
      <c r="C1800" s="2" t="s">
        <v>569</v>
      </c>
      <c r="D1800" s="2" t="str">
        <f t="shared" si="27"/>
        <v>Error?</v>
      </c>
    </row>
    <row r="1801" spans="1:4" x14ac:dyDescent="0.2">
      <c r="A1801" s="5">
        <v>1740</v>
      </c>
      <c r="B1801" s="1832">
        <f>'Tax Sched 23'!F12</f>
        <v>26200</v>
      </c>
      <c r="C1801" s="2" t="s">
        <v>569</v>
      </c>
      <c r="D1801" s="2" t="str">
        <f t="shared" si="27"/>
        <v>Error?</v>
      </c>
    </row>
    <row r="1802" spans="1:4" x14ac:dyDescent="0.2">
      <c r="A1802" s="5">
        <v>1741</v>
      </c>
      <c r="B1802" s="1832">
        <f>'Tax Sched 23'!F14</f>
        <v>10503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1225993</v>
      </c>
      <c r="C1807" s="2" t="s">
        <v>569</v>
      </c>
      <c r="D1807" s="2" t="str">
        <f t="shared" si="27"/>
        <v>Error?</v>
      </c>
    </row>
    <row r="1808" spans="1:4" x14ac:dyDescent="0.2">
      <c r="A1808" s="5">
        <v>1747</v>
      </c>
      <c r="B1808" s="1832">
        <f>'Tax Sched 23'!E4</f>
        <v>747302</v>
      </c>
      <c r="D1808" s="2" t="str">
        <f t="shared" si="27"/>
        <v>Error?</v>
      </c>
    </row>
    <row r="1809" spans="1:4" x14ac:dyDescent="0.2">
      <c r="A1809" s="5">
        <v>1748</v>
      </c>
      <c r="B1809" s="1832">
        <f>'Tax Sched 23'!E5</f>
        <v>157901</v>
      </c>
      <c r="D1809" s="2" t="str">
        <f t="shared" si="27"/>
        <v>Error?</v>
      </c>
    </row>
    <row r="1810" spans="1:4" x14ac:dyDescent="0.2">
      <c r="A1810" s="5">
        <v>1749</v>
      </c>
      <c r="B1810" s="1832">
        <f>'Tax Sched 23'!E6</f>
        <v>106575</v>
      </c>
      <c r="D1810" s="2" t="str">
        <f t="shared" si="27"/>
        <v>Error?</v>
      </c>
    </row>
    <row r="1811" spans="1:4" x14ac:dyDescent="0.2">
      <c r="A1811" s="5">
        <v>1750</v>
      </c>
      <c r="B1811" s="1832">
        <f>'Tax Sched 23'!E7</f>
        <v>63003</v>
      </c>
      <c r="D1811" s="2" t="str">
        <f t="shared" si="27"/>
        <v>Error?</v>
      </c>
    </row>
    <row r="1812" spans="1:4" x14ac:dyDescent="0.2">
      <c r="A1812" s="5">
        <v>1751</v>
      </c>
      <c r="B1812" s="1832">
        <f>'Tax Sched 23'!E8</f>
        <v>21001</v>
      </c>
      <c r="D1812" s="2" t="str">
        <f t="shared" si="27"/>
        <v>Error?</v>
      </c>
    </row>
    <row r="1813" spans="1:4" x14ac:dyDescent="0.2">
      <c r="A1813" s="5">
        <v>1752</v>
      </c>
      <c r="B1813" s="1832">
        <f>'Tax Sched 23'!E10</f>
        <v>26200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41001</v>
      </c>
      <c r="D1816" s="2" t="str">
        <f t="shared" si="27"/>
        <v>Error?</v>
      </c>
    </row>
    <row r="1817" spans="1:4" x14ac:dyDescent="0.2">
      <c r="A1817" s="5">
        <v>1756</v>
      </c>
      <c r="B1817" s="1832">
        <f>'Tax Sched 23'!E12</f>
        <v>26200</v>
      </c>
      <c r="D1817" s="2" t="str">
        <f t="shared" si="27"/>
        <v>Error?</v>
      </c>
    </row>
    <row r="1818" spans="1:4" x14ac:dyDescent="0.2">
      <c r="A1818" s="5">
        <v>1757</v>
      </c>
      <c r="B1818" s="1832">
        <f>'Tax Sched 23'!E14</f>
        <v>10503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1225993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205000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5304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5304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5304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201200</v>
      </c>
      <c r="D2008" s="2" t="str">
        <f t="shared" si="30"/>
        <v>Error?</v>
      </c>
    </row>
    <row r="2009" spans="1:4" x14ac:dyDescent="0.2">
      <c r="A2009" s="5">
        <v>1948</v>
      </c>
      <c r="B2009" s="1832">
        <f>'Cap Outlay Deprec 26'!C8</f>
        <v>1189444</v>
      </c>
      <c r="D2009" s="2" t="str">
        <f t="shared" si="30"/>
        <v>Error?</v>
      </c>
    </row>
    <row r="2010" spans="1:4" x14ac:dyDescent="0.2">
      <c r="A2010" s="5">
        <v>1949</v>
      </c>
      <c r="B2010" s="1832">
        <f>'Cap Outlay Deprec 26'!C10</f>
        <v>343951</v>
      </c>
      <c r="D2010" s="2" t="str">
        <f t="shared" si="30"/>
        <v>Error?</v>
      </c>
    </row>
    <row r="2011" spans="1:4" x14ac:dyDescent="0.2">
      <c r="A2011" s="5">
        <v>1950</v>
      </c>
      <c r="B2011" s="1832">
        <f>'Cap Outlay Deprec 26'!C12</f>
        <v>267420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2002015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15803</v>
      </c>
      <c r="D2016" s="2" t="str">
        <f t="shared" si="30"/>
        <v>Error?</v>
      </c>
    </row>
    <row r="2017" spans="1:4" x14ac:dyDescent="0.2">
      <c r="A2017" s="5">
        <v>1956</v>
      </c>
      <c r="B2017" s="1832">
        <f>'Cap Outlay Deprec 26'!D12</f>
        <v>900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16703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201200</v>
      </c>
      <c r="C2026" s="2" t="s">
        <v>569</v>
      </c>
      <c r="D2026" s="2" t="str">
        <f t="shared" si="30"/>
        <v>Error?</v>
      </c>
    </row>
    <row r="2027" spans="1:4" x14ac:dyDescent="0.2">
      <c r="A2027" s="5">
        <v>1966</v>
      </c>
      <c r="B2027" s="1832">
        <f>'Cap Outlay Deprec 26'!F8</f>
        <v>1189444</v>
      </c>
      <c r="C2027" s="2" t="s">
        <v>569</v>
      </c>
      <c r="D2027" s="2" t="str">
        <f t="shared" si="30"/>
        <v>Error?</v>
      </c>
    </row>
    <row r="2028" spans="1:4" x14ac:dyDescent="0.2">
      <c r="A2028" s="5">
        <v>1967</v>
      </c>
      <c r="B2028" s="1832">
        <f>'Cap Outlay Deprec 26'!F10</f>
        <v>359754</v>
      </c>
      <c r="C2028" s="2" t="s">
        <v>569</v>
      </c>
      <c r="D2028" s="2" t="str">
        <f t="shared" si="30"/>
        <v>Error?</v>
      </c>
    </row>
    <row r="2029" spans="1:4" x14ac:dyDescent="0.2">
      <c r="A2029" s="5">
        <v>1968</v>
      </c>
      <c r="B2029" s="1832">
        <f>'Cap Outlay Deprec 26'!F12</f>
        <v>268320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2018718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503896</v>
      </c>
      <c r="D2033" s="2" t="str">
        <f t="shared" si="30"/>
        <v>Error?</v>
      </c>
    </row>
    <row r="2034" spans="1:4" x14ac:dyDescent="0.2">
      <c r="A2034" s="5">
        <v>1973</v>
      </c>
      <c r="B2034" s="1832">
        <f>'Cap Outlay Deprec 26'!H10</f>
        <v>297746</v>
      </c>
      <c r="D2034" s="2" t="str">
        <f t="shared" si="30"/>
        <v>Error?</v>
      </c>
    </row>
    <row r="2035" spans="1:4" x14ac:dyDescent="0.2">
      <c r="A2035" s="5">
        <v>1974</v>
      </c>
      <c r="B2035" s="1832">
        <f>'Cap Outlay Deprec 26'!H12</f>
        <v>187942</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989584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35050</v>
      </c>
      <c r="D2039" s="2" t="str">
        <f t="shared" si="30"/>
        <v>Error?</v>
      </c>
    </row>
    <row r="2040" spans="1:4" x14ac:dyDescent="0.2">
      <c r="A2040" s="5">
        <v>1979</v>
      </c>
      <c r="B2040" s="1832">
        <f>'Cap Outlay Deprec 26'!I10</f>
        <v>15593</v>
      </c>
      <c r="D2040" s="2" t="str">
        <f t="shared" si="30"/>
        <v>Error?</v>
      </c>
    </row>
    <row r="2041" spans="1:4" x14ac:dyDescent="0.2">
      <c r="A2041" s="5">
        <v>1980</v>
      </c>
      <c r="B2041" s="1832">
        <f>'Cap Outlay Deprec 26'!I12</f>
        <v>25311</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75954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538946</v>
      </c>
      <c r="C2051" s="2" t="s">
        <v>569</v>
      </c>
      <c r="D2051" s="2" t="str">
        <f t="shared" si="31"/>
        <v>Error?</v>
      </c>
    </row>
    <row r="2052" spans="1:4" x14ac:dyDescent="0.2">
      <c r="A2052" s="5">
        <v>1991</v>
      </c>
      <c r="B2052" s="1832">
        <f>'Cap Outlay Deprec 26'!K10</f>
        <v>313339</v>
      </c>
      <c r="C2052" s="2" t="s">
        <v>569</v>
      </c>
      <c r="D2052" s="2" t="str">
        <f t="shared" si="31"/>
        <v>Error?</v>
      </c>
    </row>
    <row r="2053" spans="1:4" x14ac:dyDescent="0.2">
      <c r="A2053" s="5">
        <v>1992</v>
      </c>
      <c r="B2053" s="1832">
        <f>'Cap Outlay Deprec 26'!K12</f>
        <v>213253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1065538</v>
      </c>
      <c r="C2055" s="2" t="s">
        <v>569</v>
      </c>
      <c r="D2055" s="2" t="str">
        <f t="shared" si="31"/>
        <v>Error?</v>
      </c>
    </row>
    <row r="2056" spans="1:4" x14ac:dyDescent="0.2">
      <c r="A2056" s="5">
        <v>1995</v>
      </c>
      <c r="B2056" s="1832">
        <f>'Cap Outlay Deprec 26'!L5</f>
        <v>201200</v>
      </c>
      <c r="C2056" s="2" t="s">
        <v>569</v>
      </c>
      <c r="D2056" s="2" t="str">
        <f t="shared" si="31"/>
        <v>Error?</v>
      </c>
    </row>
    <row r="2057" spans="1:4" x14ac:dyDescent="0.2">
      <c r="A2057" s="5">
        <v>1996</v>
      </c>
      <c r="B2057" s="1832">
        <f>'Cap Outlay Deprec 26'!L8</f>
        <v>650498</v>
      </c>
      <c r="C2057" s="2" t="s">
        <v>569</v>
      </c>
      <c r="D2057" s="2" t="str">
        <f t="shared" si="31"/>
        <v>Error?</v>
      </c>
    </row>
    <row r="2058" spans="1:4" x14ac:dyDescent="0.2">
      <c r="A2058" s="5">
        <v>1997</v>
      </c>
      <c r="B2058" s="1832">
        <f>'Cap Outlay Deprec 26'!L10</f>
        <v>46415</v>
      </c>
      <c r="C2058" s="2" t="s">
        <v>569</v>
      </c>
      <c r="D2058" s="2" t="str">
        <f t="shared" si="31"/>
        <v>Error?</v>
      </c>
    </row>
    <row r="2059" spans="1:4" x14ac:dyDescent="0.2">
      <c r="A2059" s="5">
        <v>1998</v>
      </c>
      <c r="B2059" s="1832">
        <f>'Cap Outlay Deprec 26'!L12</f>
        <v>55067</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953180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81861</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11000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179055</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39190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868172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134378</v>
      </c>
      <c r="C2553" s="2" t="s">
        <v>569</v>
      </c>
      <c r="D2553" s="2" t="str">
        <f t="shared" si="38"/>
        <v>Error?</v>
      </c>
    </row>
    <row r="2554" spans="1:4" x14ac:dyDescent="0.2">
      <c r="A2554" s="5">
        <v>2493</v>
      </c>
      <c r="B2554" s="1832">
        <f>'Acct Summary 7-8'!C7</f>
        <v>82063</v>
      </c>
      <c r="C2554" s="2" t="s">
        <v>569</v>
      </c>
      <c r="D2554" s="2" t="str">
        <f t="shared" si="38"/>
        <v>Error?</v>
      </c>
    </row>
    <row r="2555" spans="1:4" x14ac:dyDescent="0.2">
      <c r="A2555" s="5">
        <v>2494</v>
      </c>
      <c r="B2555" s="1832">
        <f>'Acct Summary 7-8'!C8</f>
        <v>1084613</v>
      </c>
      <c r="C2555" s="2" t="s">
        <v>569</v>
      </c>
      <c r="D2555" s="2" t="str">
        <f t="shared" si="38"/>
        <v>Error?</v>
      </c>
    </row>
    <row r="2556" spans="1:4" x14ac:dyDescent="0.2">
      <c r="A2556" s="5">
        <v>2495</v>
      </c>
      <c r="B2556" s="1832">
        <f>'Acct Summary 7-8'!C12</f>
        <v>871657</v>
      </c>
      <c r="C2556" s="2" t="s">
        <v>569</v>
      </c>
      <c r="D2556" s="2" t="str">
        <f t="shared" si="38"/>
        <v>Error?</v>
      </c>
    </row>
    <row r="2557" spans="1:4" x14ac:dyDescent="0.2">
      <c r="A2557" s="5">
        <v>2496</v>
      </c>
      <c r="B2557" s="1832">
        <f>'Acct Summary 7-8'!C13</f>
        <v>321818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81861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1275336</v>
      </c>
      <c r="C2561" s="2" t="s">
        <v>569</v>
      </c>
      <c r="D2561" s="2" t="str">
        <f t="shared" si="39"/>
        <v>Error?</v>
      </c>
    </row>
    <row r="2562" spans="1:4" x14ac:dyDescent="0.2">
      <c r="A2562" s="5">
        <v>2501</v>
      </c>
      <c r="B2562" s="1832">
        <f>'Acct Summary 7-8'!C20</f>
        <v>-190723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194161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194161</v>
      </c>
      <c r="C2568" s="2" t="s">
        <v>569</v>
      </c>
      <c r="D2568" s="2" t="str">
        <f t="shared" si="39"/>
        <v>Error?</v>
      </c>
    </row>
    <row r="2569" spans="1:4" x14ac:dyDescent="0.2">
      <c r="A2569" s="5">
        <v>2508</v>
      </c>
      <c r="B2569" s="1832">
        <f>'Acct Summary 7-8'!D13</f>
        <v>146255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146255</v>
      </c>
      <c r="C2573" s="2" t="s">
        <v>569</v>
      </c>
      <c r="D2573" s="2" t="str">
        <f t="shared" si="39"/>
        <v>Error?</v>
      </c>
    </row>
    <row r="2574" spans="1:4" x14ac:dyDescent="0.2">
      <c r="A2574" s="5">
        <v>2513</v>
      </c>
      <c r="B2574" s="1832">
        <f>'Acct Summary 7-8'!D20</f>
        <v>47906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61096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87887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148983</v>
      </c>
      <c r="C2595" s="2" t="s">
        <v>569</v>
      </c>
      <c r="D2595" s="2" t="str">
        <f t="shared" si="39"/>
        <v>Error?</v>
      </c>
    </row>
    <row r="2596" spans="1:4" x14ac:dyDescent="0.2">
      <c r="A2596" s="5">
        <v>2535</v>
      </c>
      <c r="B2596" s="1832">
        <f>'Acct Summary 7-8'!F13</f>
        <v>137090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137090</v>
      </c>
      <c r="C2600" s="2" t="s">
        <v>569</v>
      </c>
      <c r="D2600" s="2" t="str">
        <f t="shared" si="39"/>
        <v>Error?</v>
      </c>
    </row>
    <row r="2601" spans="1:4" x14ac:dyDescent="0.2">
      <c r="A2601" s="5">
        <v>2540</v>
      </c>
      <c r="B2601" s="1832">
        <f>'Acct Summary 7-8'!F20</f>
        <v>11893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42504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42504</v>
      </c>
      <c r="C2606" s="2" t="s">
        <v>569</v>
      </c>
      <c r="D2606" s="2" t="str">
        <f t="shared" si="39"/>
        <v>Error?</v>
      </c>
    </row>
    <row r="2607" spans="1:4" x14ac:dyDescent="0.2">
      <c r="A2607" s="5">
        <v>2546</v>
      </c>
      <c r="B2607" s="1832">
        <f>'Acct Summary 7-8'!G12</f>
        <v>13300</v>
      </c>
      <c r="C2607" s="2" t="s">
        <v>569</v>
      </c>
      <c r="D2607" s="2" t="str">
        <f t="shared" si="39"/>
        <v>Error?</v>
      </c>
    </row>
    <row r="2608" spans="1:4" x14ac:dyDescent="0.2">
      <c r="A2608" s="5">
        <v>2547</v>
      </c>
      <c r="B2608" s="1832">
        <f>'Acct Summary 7-8'!G13</f>
        <v>15049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28349</v>
      </c>
      <c r="C2612" s="2" t="s">
        <v>569</v>
      </c>
      <c r="D2612" s="2" t="str">
        <f t="shared" si="39"/>
        <v>Error?</v>
      </c>
    </row>
    <row r="2613" spans="1:4" x14ac:dyDescent="0.2">
      <c r="A2613" s="5">
        <v>2552</v>
      </c>
      <c r="B2613" s="1832">
        <f>'Acct Summary 7-8'!G20</f>
        <v>14155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37843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37843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105025</v>
      </c>
      <c r="C2634" s="2" t="s">
        <v>569</v>
      </c>
      <c r="D2634" s="2" t="str">
        <f t="shared" si="40"/>
        <v>Error?</v>
      </c>
    </row>
    <row r="2635" spans="1:4" x14ac:dyDescent="0.2">
      <c r="A2635" s="5">
        <v>2574</v>
      </c>
      <c r="B2635" s="1832">
        <f>'Acct Summary 7-8'!E17</f>
        <v>105025</v>
      </c>
      <c r="C2635" s="2" t="s">
        <v>569</v>
      </c>
      <c r="D2635" s="2" t="str">
        <f t="shared" si="40"/>
        <v>Error?</v>
      </c>
    </row>
    <row r="2636" spans="1:4" x14ac:dyDescent="0.2">
      <c r="A2636" s="5">
        <v>2575</v>
      </c>
      <c r="B2636" s="1832">
        <f>'Acct Summary 7-8'!E20</f>
        <v>-67182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81861</v>
      </c>
      <c r="C2789" s="2" t="s">
        <v>569</v>
      </c>
      <c r="D2789" s="2" t="str">
        <f t="shared" si="42"/>
        <v>Error?</v>
      </c>
    </row>
    <row r="2790" spans="1:4" x14ac:dyDescent="0.2">
      <c r="A2790" s="5">
        <v>2729</v>
      </c>
      <c r="B2790" s="1832">
        <f>'Expenditures 15-22'!E102</f>
        <v>81861</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237214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15168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237214</v>
      </c>
      <c r="D2912" s="2" t="str">
        <f t="shared" si="44"/>
        <v>Error?</v>
      </c>
    </row>
    <row r="2913" spans="1:4" x14ac:dyDescent="0.2">
      <c r="A2913" s="5">
        <v>2852</v>
      </c>
      <c r="B2913" s="1832">
        <f>'Assets-Liab 5-6'!I41</f>
        <v>237214</v>
      </c>
      <c r="C2913" s="2" t="s">
        <v>569</v>
      </c>
      <c r="D2913" s="2" t="str">
        <f t="shared" si="44"/>
        <v>Error?</v>
      </c>
    </row>
    <row r="2914" spans="1:4" x14ac:dyDescent="0.2">
      <c r="A2914" s="5">
        <v>2853</v>
      </c>
      <c r="B2914" s="1832">
        <f>'Assets-Liab 5-6'!L33</f>
        <v>15168</v>
      </c>
      <c r="D2914" s="2" t="str">
        <f t="shared" si="44"/>
        <v>Error?</v>
      </c>
    </row>
    <row r="2915" spans="1:4" x14ac:dyDescent="0.2">
      <c r="A2915" s="10">
        <v>2854</v>
      </c>
      <c r="B2915" s="1832"/>
      <c r="D2915" s="2" t="str">
        <f t="shared" si="44"/>
        <v>OK</v>
      </c>
    </row>
    <row r="2916" spans="1:4" x14ac:dyDescent="0.2">
      <c r="A2916" s="5">
        <v>2855</v>
      </c>
      <c r="B2916" s="1832">
        <f>'Assets-Liab 5-6'!L34</f>
        <v>15168</v>
      </c>
      <c r="C2916" s="2" t="s">
        <v>569</v>
      </c>
      <c r="D2916" s="2" t="str">
        <f t="shared" si="44"/>
        <v>Error?</v>
      </c>
    </row>
    <row r="2917" spans="1:4" x14ac:dyDescent="0.2">
      <c r="A2917" s="5">
        <v>2856</v>
      </c>
      <c r="B2917" s="1832">
        <f>'Assets-Liab 5-6'!L41</f>
        <v>15168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52369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29492</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52369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29492</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25544</v>
      </c>
      <c r="C3225" s="2" t="s">
        <v>569</v>
      </c>
      <c r="D3225" s="2" t="str">
        <f t="shared" si="49"/>
        <v>Error?</v>
      </c>
    </row>
    <row r="3226" spans="1:4" x14ac:dyDescent="0.2">
      <c r="A3226" s="5">
        <v>3165</v>
      </c>
      <c r="B3226" s="1832">
        <f>'Acct Summary 7-8'!I8</f>
        <v>25544</v>
      </c>
      <c r="C3226" s="2" t="s">
        <v>569</v>
      </c>
      <c r="D3226" s="2" t="str">
        <f t="shared" si="49"/>
        <v>Error?</v>
      </c>
    </row>
    <row r="3227" spans="1:4" x14ac:dyDescent="0.2">
      <c r="A3227" s="5">
        <v>3166</v>
      </c>
      <c r="B3227" s="1832">
        <f>'Acct Summary 7-8'!I20</f>
        <v>25544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11000</v>
      </c>
      <c r="C3229" s="2" t="s">
        <v>569</v>
      </c>
      <c r="D3229" s="2" t="str">
        <f t="shared" si="49"/>
        <v>Error?</v>
      </c>
    </row>
    <row r="3230" spans="1:4" x14ac:dyDescent="0.2">
      <c r="A3230" s="5">
        <v>3169</v>
      </c>
      <c r="B3230" s="1832">
        <f>'Acct Summary 7-8'!C75</f>
        <v>10620</v>
      </c>
      <c r="D3230" s="2" t="str">
        <f t="shared" si="49"/>
        <v>Error?</v>
      </c>
    </row>
    <row r="3231" spans="1:4" x14ac:dyDescent="0.2">
      <c r="A3231" s="5">
        <v>3170</v>
      </c>
      <c r="B3231" s="1832">
        <f>'Acct Summary 7-8'!C76</f>
        <v>10620</v>
      </c>
      <c r="C3231" s="2" t="s">
        <v>569</v>
      </c>
      <c r="D3231" s="2" t="str">
        <f t="shared" si="49"/>
        <v>Error?</v>
      </c>
    </row>
    <row r="3232" spans="1:4" x14ac:dyDescent="0.2">
      <c r="A3232" s="5">
        <v>3171</v>
      </c>
      <c r="B3232" s="1832">
        <f>'Acct Summary 7-8'!C77</f>
        <v>380</v>
      </c>
      <c r="C3232" s="2" t="s">
        <v>569</v>
      </c>
      <c r="D3232" s="2" t="str">
        <f t="shared" si="49"/>
        <v>Error?</v>
      </c>
    </row>
    <row r="3233" spans="1:4" x14ac:dyDescent="0.2">
      <c r="A3233" s="5">
        <v>3172</v>
      </c>
      <c r="B3233" s="1832">
        <f>'Acct Summary 7-8'!C78</f>
        <v>-190343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47906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10000</v>
      </c>
      <c r="D3251" s="2" t="str">
        <f t="shared" si="49"/>
        <v>Error?</v>
      </c>
    </row>
    <row r="3252" spans="1:4" x14ac:dyDescent="0.2">
      <c r="A3252" s="5">
        <v>3191</v>
      </c>
      <c r="B3252" s="1832">
        <f>'Acct Summary 7-8'!F44</f>
        <v>10000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10000</v>
      </c>
      <c r="C3255" s="2" t="s">
        <v>569</v>
      </c>
      <c r="D3255" s="2" t="str">
        <f t="shared" si="49"/>
        <v>Error?</v>
      </c>
    </row>
    <row r="3256" spans="1:4" x14ac:dyDescent="0.2">
      <c r="A3256" s="5">
        <v>3195</v>
      </c>
      <c r="B3256" s="1832">
        <f>'Acct Summary 7-8'!F78</f>
        <v>21893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14155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620</v>
      </c>
      <c r="D3273" s="2" t="str">
        <f t="shared" si="50"/>
        <v>Error?</v>
      </c>
    </row>
    <row r="3274" spans="1:4" x14ac:dyDescent="0.2">
      <c r="A3274" s="5">
        <v>3213</v>
      </c>
      <c r="B3274" s="1832">
        <f>'Acct Summary 7-8'!E44</f>
        <v>620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620</v>
      </c>
      <c r="C3277" s="2" t="s">
        <v>569</v>
      </c>
      <c r="D3277" s="2" t="str">
        <f t="shared" si="50"/>
        <v>Error?</v>
      </c>
    </row>
    <row r="3278" spans="1:4" x14ac:dyDescent="0.2">
      <c r="A3278" s="5">
        <v>3217</v>
      </c>
      <c r="B3278" s="1832">
        <f>'Acct Summary 7-8'!E78</f>
        <v>-66562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11000</v>
      </c>
      <c r="C3318" s="2" t="s">
        <v>569</v>
      </c>
      <c r="D3318" s="2" t="str">
        <f t="shared" si="50"/>
        <v>Error?</v>
      </c>
    </row>
    <row r="3319" spans="1:4" x14ac:dyDescent="0.2">
      <c r="A3319" s="5">
        <v>3258</v>
      </c>
      <c r="B3319" s="1832">
        <f>'Acct Summary 7-8'!I77</f>
        <v>-11000</v>
      </c>
      <c r="C3319" s="2" t="s">
        <v>569</v>
      </c>
      <c r="D3319" s="2" t="str">
        <f t="shared" si="50"/>
        <v>Error?</v>
      </c>
    </row>
    <row r="3320" spans="1:4" x14ac:dyDescent="0.2">
      <c r="A3320" s="5">
        <v>3259</v>
      </c>
      <c r="B3320" s="1832">
        <f>'Acct Summary 7-8'!I78</f>
        <v>14544</v>
      </c>
      <c r="C3320" s="2" t="s">
        <v>569</v>
      </c>
      <c r="D3320" s="2" t="str">
        <f t="shared" si="50"/>
        <v>Error?</v>
      </c>
    </row>
    <row r="3321" spans="1:4" x14ac:dyDescent="0.2">
      <c r="A3321" s="5">
        <v>3260</v>
      </c>
      <c r="B3321" s="1832">
        <f>'Acct Summary 7-8'!I79</f>
        <v>222670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237214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76895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6218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3205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3331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79812</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169461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7949</v>
      </c>
      <c r="D3387" s="2" t="str">
        <f t="shared" si="51"/>
        <v>Error?</v>
      </c>
    </row>
    <row r="3388" spans="1:4" x14ac:dyDescent="0.2">
      <c r="A3388" s="5">
        <v>3327</v>
      </c>
      <c r="B3388" s="1832">
        <f>'Expenditures 15-22'!D217</f>
        <v>3931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7949</v>
      </c>
      <c r="C3390" s="2" t="s">
        <v>569</v>
      </c>
      <c r="D3390" s="2" t="str">
        <f t="shared" si="51"/>
        <v>Error?</v>
      </c>
    </row>
    <row r="3391" spans="1:4" x14ac:dyDescent="0.2">
      <c r="A3391" s="5">
        <v>3330</v>
      </c>
      <c r="B3391" s="1832">
        <f>'Expenditures 15-22'!K217</f>
        <v>3931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219281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109777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2924</v>
      </c>
      <c r="D3417" s="2" t="str">
        <f t="shared" si="52"/>
        <v>Error?</v>
      </c>
    </row>
    <row r="3418" spans="1:4" x14ac:dyDescent="0.2">
      <c r="A3418" s="10">
        <v>3357</v>
      </c>
      <c r="B3418" s="1832"/>
      <c r="D3418" s="2" t="str">
        <f t="shared" si="52"/>
        <v>OK</v>
      </c>
    </row>
    <row r="3419" spans="1:4" x14ac:dyDescent="0.2">
      <c r="A3419" s="5">
        <v>3358</v>
      </c>
      <c r="B3419" s="1832">
        <f>'Assets-Liab 5-6'!F4</f>
        <v>54725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39190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237214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15168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22080</v>
      </c>
      <c r="C3446" s="2" t="s">
        <v>569</v>
      </c>
      <c r="D3446" s="2" t="str">
        <f t="shared" si="52"/>
        <v>Error?</v>
      </c>
    </row>
    <row r="3447" spans="1:4" x14ac:dyDescent="0.2">
      <c r="A3447" s="5">
        <v>3386</v>
      </c>
      <c r="B3447" s="1832">
        <f>'Tax Sched 23'!D16</f>
        <v>22080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21003</v>
      </c>
      <c r="C3449" s="2" t="s">
        <v>569</v>
      </c>
      <c r="D3449" s="2" t="str">
        <f t="shared" si="52"/>
        <v>Error?</v>
      </c>
    </row>
    <row r="3450" spans="1:4" x14ac:dyDescent="0.2">
      <c r="A3450" s="5">
        <v>3389</v>
      </c>
      <c r="B3450" s="1832">
        <f>'Tax Sched 23'!E16</f>
        <v>21003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27656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27656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27656</v>
      </c>
      <c r="D3567" s="2" t="str">
        <f t="shared" si="54"/>
        <v>Error?</v>
      </c>
    </row>
    <row r="3568" spans="1:4" x14ac:dyDescent="0.2">
      <c r="A3568" s="5">
        <v>3507</v>
      </c>
      <c r="B3568" s="1832">
        <f>'Assets-Liab 5-6'!K41</f>
        <v>27656</v>
      </c>
      <c r="C3568" s="2" t="s">
        <v>569</v>
      </c>
      <c r="D3568" s="2" t="str">
        <f t="shared" si="54"/>
        <v>Error?</v>
      </c>
    </row>
    <row r="3569" spans="1:4" x14ac:dyDescent="0.2">
      <c r="A3569" s="5">
        <v>3508</v>
      </c>
      <c r="B3569" s="1832">
        <f>'Acct Summary 7-8'!K4</f>
        <v>25501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25501</v>
      </c>
      <c r="C3571" s="2" t="s">
        <v>569</v>
      </c>
      <c r="D3571" s="2" t="str">
        <f t="shared" si="54"/>
        <v>Error?</v>
      </c>
    </row>
    <row r="3572" spans="1:4" x14ac:dyDescent="0.2">
      <c r="A3572" s="5">
        <v>3511</v>
      </c>
      <c r="B3572" s="1832">
        <f>'Acct Summary 7-8'!K13</f>
        <v>28295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28295</v>
      </c>
      <c r="C3575" s="2" t="s">
        <v>569</v>
      </c>
      <c r="D3575" s="2" t="str">
        <f t="shared" si="54"/>
        <v>Error?</v>
      </c>
    </row>
    <row r="3576" spans="1:4" x14ac:dyDescent="0.2">
      <c r="A3576" s="5">
        <v>3515</v>
      </c>
      <c r="B3576" s="1832">
        <f>'Acct Summary 7-8'!K20</f>
        <v>-2794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-2794</v>
      </c>
      <c r="C3588" s="2" t="s">
        <v>569</v>
      </c>
      <c r="D3588" s="2" t="str">
        <f t="shared" si="55"/>
        <v>Error?</v>
      </c>
    </row>
    <row r="3589" spans="1:4" x14ac:dyDescent="0.2">
      <c r="A3589" s="5">
        <v>3528</v>
      </c>
      <c r="B3589" s="1832">
        <f>'Acct Summary 7-8'!K79</f>
        <v>30450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27656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28085</v>
      </c>
      <c r="D3632" s="2" t="str">
        <f t="shared" si="55"/>
        <v>Error?</v>
      </c>
    </row>
    <row r="3633" spans="1:4" x14ac:dyDescent="0.2">
      <c r="A3633" s="5">
        <v>3572</v>
      </c>
      <c r="B3633" s="1832">
        <f>'Expenditures 15-22'!E350</f>
        <v>28085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28085</v>
      </c>
      <c r="C3635" s="2" t="s">
        <v>569</v>
      </c>
      <c r="D3635" s="2" t="str">
        <f t="shared" si="55"/>
        <v>Error?</v>
      </c>
    </row>
    <row r="3636" spans="1:4" x14ac:dyDescent="0.2">
      <c r="A3636" s="5">
        <v>3575</v>
      </c>
      <c r="B3636" s="1832">
        <f>'Expenditures 15-22'!E367</f>
        <v>28085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210</v>
      </c>
      <c r="D3646" s="2" t="str">
        <f t="shared" si="55"/>
        <v>Error?</v>
      </c>
    </row>
    <row r="3647" spans="1:4" x14ac:dyDescent="0.2">
      <c r="A3647" s="5">
        <v>3586</v>
      </c>
      <c r="B3647" s="1832">
        <f>'Expenditures 15-22'!G350</f>
        <v>210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210</v>
      </c>
      <c r="C3649" s="2" t="s">
        <v>569</v>
      </c>
      <c r="D3649" s="2" t="str">
        <f t="shared" si="56"/>
        <v>Error?</v>
      </c>
    </row>
    <row r="3650" spans="1:4" x14ac:dyDescent="0.2">
      <c r="A3650" s="5">
        <v>3589</v>
      </c>
      <c r="B3650" s="1832">
        <f>'Expenditures 15-22'!G367</f>
        <v>210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28295</v>
      </c>
      <c r="C3669" s="2" t="s">
        <v>569</v>
      </c>
      <c r="D3669" s="2" t="str">
        <f t="shared" si="56"/>
        <v>Error?</v>
      </c>
    </row>
    <row r="3670" spans="1:4" x14ac:dyDescent="0.2">
      <c r="A3670" s="5">
        <v>3609</v>
      </c>
      <c r="B3670" s="1832">
        <f>'Expenditures 15-22'!K350</f>
        <v>28295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28295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28295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-2794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10170</v>
      </c>
      <c r="C3725" s="2" t="s">
        <v>569</v>
      </c>
      <c r="D3725" s="2" t="str">
        <f t="shared" si="57"/>
        <v>Error?</v>
      </c>
    </row>
    <row r="3726" spans="1:4" x14ac:dyDescent="0.2">
      <c r="A3726" s="5">
        <v>3665</v>
      </c>
      <c r="B3726" s="1832">
        <f>'Tax Sched 23'!D13</f>
        <v>10170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5304</v>
      </c>
      <c r="C3728" s="2" t="s">
        <v>569</v>
      </c>
      <c r="D3728" s="2" t="str">
        <f t="shared" si="57"/>
        <v>Error?</v>
      </c>
    </row>
    <row r="3729" spans="1:4" x14ac:dyDescent="0.2">
      <c r="A3729" s="5">
        <v>3668</v>
      </c>
      <c r="B3729" s="1832">
        <f>'Tax Sched 23'!E13</f>
        <v>5304</v>
      </c>
      <c r="D3729" s="2" t="str">
        <f t="shared" si="57"/>
        <v>Error?</v>
      </c>
    </row>
    <row r="3730" spans="1:4" x14ac:dyDescent="0.2">
      <c r="A3730" s="5">
        <v>3669</v>
      </c>
      <c r="B3730" s="1832">
        <f>'ICR Computation 30'!E10</f>
        <v>24233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89615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1174228</v>
      </c>
      <c r="C4122" s="2" t="s">
        <v>569</v>
      </c>
      <c r="D4122" s="2" t="str">
        <f t="shared" si="63"/>
        <v>Error?</v>
      </c>
    </row>
    <row r="4123" spans="1:4" x14ac:dyDescent="0.2">
      <c r="A4123" s="5">
        <v>4062</v>
      </c>
      <c r="B4123" s="1832">
        <f>'Acct Summary 7-8'!D10</f>
        <v>194161</v>
      </c>
      <c r="C4123" s="2" t="s">
        <v>569</v>
      </c>
      <c r="D4123" s="2" t="str">
        <f t="shared" si="63"/>
        <v>Error?</v>
      </c>
    </row>
    <row r="4124" spans="1:4" x14ac:dyDescent="0.2">
      <c r="A4124" s="5">
        <v>4063</v>
      </c>
      <c r="B4124" s="1832">
        <f>'Acct Summary 7-8'!E10</f>
        <v>37843</v>
      </c>
      <c r="C4124" s="2" t="s">
        <v>569</v>
      </c>
      <c r="D4124" s="2" t="str">
        <f t="shared" si="63"/>
        <v>Error?</v>
      </c>
    </row>
    <row r="4125" spans="1:4" x14ac:dyDescent="0.2">
      <c r="A4125" s="5">
        <v>4064</v>
      </c>
      <c r="B4125" s="1832">
        <f>'Acct Summary 7-8'!F10</f>
        <v>148983</v>
      </c>
      <c r="C4125" s="2" t="s">
        <v>569</v>
      </c>
      <c r="D4125" s="2" t="str">
        <f t="shared" si="63"/>
        <v>Error?</v>
      </c>
    </row>
    <row r="4126" spans="1:4" x14ac:dyDescent="0.2">
      <c r="A4126" s="5">
        <v>4065</v>
      </c>
      <c r="B4126" s="1832">
        <f>'Acct Summary 7-8'!G10</f>
        <v>42504</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25544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25501</v>
      </c>
      <c r="C4130" s="2" t="s">
        <v>569</v>
      </c>
      <c r="D4130" s="2" t="str">
        <f t="shared" si="63"/>
        <v>Error?</v>
      </c>
    </row>
    <row r="4131" spans="1:4" x14ac:dyDescent="0.2">
      <c r="A4131" s="5">
        <v>4070</v>
      </c>
      <c r="B4131" s="1832">
        <f>'Acct Summary 7-8'!C18</f>
        <v>89615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1364951</v>
      </c>
      <c r="C4136" s="2" t="s">
        <v>569</v>
      </c>
      <c r="D4136" s="2" t="str">
        <f t="shared" si="63"/>
        <v>Error?</v>
      </c>
    </row>
    <row r="4137" spans="1:4" x14ac:dyDescent="0.2">
      <c r="A4137" s="5">
        <v>4076</v>
      </c>
      <c r="B4137" s="1832">
        <f>'Acct Summary 7-8'!D19</f>
        <v>146255</v>
      </c>
      <c r="C4137" s="2" t="s">
        <v>569</v>
      </c>
      <c r="D4137" s="2" t="str">
        <f t="shared" si="63"/>
        <v>Error?</v>
      </c>
    </row>
    <row r="4138" spans="1:4" x14ac:dyDescent="0.2">
      <c r="A4138" s="5">
        <v>4077</v>
      </c>
      <c r="B4138" s="1832">
        <f>'Acct Summary 7-8'!E19</f>
        <v>105025</v>
      </c>
      <c r="C4138" s="2" t="s">
        <v>569</v>
      </c>
      <c r="D4138" s="2" t="str">
        <f t="shared" si="63"/>
        <v>Error?</v>
      </c>
    </row>
    <row r="4139" spans="1:4" x14ac:dyDescent="0.2">
      <c r="A4139" s="5">
        <v>4078</v>
      </c>
      <c r="B4139" s="1832">
        <f>'Acct Summary 7-8'!F19</f>
        <v>137090</v>
      </c>
      <c r="C4139" s="2" t="s">
        <v>569</v>
      </c>
      <c r="D4139" s="2" t="str">
        <f t="shared" si="63"/>
        <v>Error?</v>
      </c>
    </row>
    <row r="4140" spans="1:4" x14ac:dyDescent="0.2">
      <c r="A4140" s="5">
        <v>4079</v>
      </c>
      <c r="B4140" s="1832">
        <f>'Acct Summary 7-8'!G19</f>
        <v>28349</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28295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105000</v>
      </c>
      <c r="C4171" s="2" t="s">
        <v>569</v>
      </c>
      <c r="D4171" s="2" t="str">
        <f t="shared" si="64"/>
        <v>Error?</v>
      </c>
    </row>
    <row r="4172" spans="1:4" x14ac:dyDescent="0.2">
      <c r="A4172" s="5">
        <v>4111</v>
      </c>
      <c r="B4172" s="1832">
        <f>'Short-Term Long-Term Debt 24'!J49</f>
        <v>102076</v>
      </c>
      <c r="C4172" s="2" t="s">
        <v>569</v>
      </c>
      <c r="D4172" s="2" t="str">
        <f t="shared" si="64"/>
        <v>Error?</v>
      </c>
    </row>
    <row r="4173" spans="1:4" x14ac:dyDescent="0.2">
      <c r="A4173" s="5">
        <v>4112</v>
      </c>
      <c r="B4173" s="1832">
        <f>'Short-Term Long-Term Debt 24'!H49</f>
        <v>100000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1418.7</v>
      </c>
      <c r="C4265" s="2" t="s">
        <v>569</v>
      </c>
      <c r="D4265" s="2" t="str">
        <f t="shared" si="65"/>
        <v>Error?</v>
      </c>
      <c r="E4265" s="125"/>
    </row>
    <row r="4266" spans="1:5" x14ac:dyDescent="0.2">
      <c r="A4266" s="12">
        <v>4205</v>
      </c>
      <c r="B4266" s="1832">
        <f>('FP Info 3'!F10)*100000</f>
        <v>299.79999999999995</v>
      </c>
      <c r="C4266" s="2" t="s">
        <v>569</v>
      </c>
      <c r="D4266" s="2" t="str">
        <f t="shared" si="65"/>
        <v>Error?</v>
      </c>
      <c r="E4266" s="125"/>
    </row>
    <row r="4267" spans="1:5" x14ac:dyDescent="0.2">
      <c r="A4267" s="12">
        <v>4206</v>
      </c>
      <c r="B4267" s="1832">
        <f>('FP Info 3'!H10)*100000</f>
        <v>119.60000000000001</v>
      </c>
      <c r="C4267" s="2" t="s">
        <v>569</v>
      </c>
      <c r="D4267" s="2" t="str">
        <f t="shared" si="65"/>
        <v>Error?</v>
      </c>
      <c r="E4267" s="125"/>
    </row>
    <row r="4268" spans="1:5" x14ac:dyDescent="0.2">
      <c r="A4268" s="12">
        <v>4207</v>
      </c>
      <c r="B4268" s="1832">
        <f>('FP Info 3'!J10)*100000</f>
        <v>1838</v>
      </c>
      <c r="C4268" s="2" t="s">
        <v>569</v>
      </c>
      <c r="D4268" s="2" t="str">
        <f t="shared" si="65"/>
        <v>Error?</v>
      </c>
    </row>
    <row r="4269" spans="1:5" x14ac:dyDescent="0.2">
      <c r="A4269" s="12">
        <v>4208</v>
      </c>
      <c r="B4269" s="1832">
        <f>'FP Info 3'!J16</f>
        <v>620997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4883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13394</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13394</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7300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1923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49.7</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39500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52674020</v>
      </c>
      <c r="D4995" s="2" t="str">
        <f t="shared" si="77"/>
        <v>Error?</v>
      </c>
    </row>
    <row r="4996" spans="1:4" x14ac:dyDescent="0.2">
      <c r="A4996" s="12">
        <v>4935</v>
      </c>
      <c r="B4996" s="1832">
        <f>'FP Info 3'!H31</f>
        <v>3634507.3800000004</v>
      </c>
      <c r="D4996" s="2" t="str">
        <f t="shared" si="77"/>
        <v>Error?</v>
      </c>
    </row>
    <row r="4997" spans="1:4" x14ac:dyDescent="0.2">
      <c r="A4997" s="12">
        <v>4936</v>
      </c>
      <c r="B4997" s="1832">
        <f>'FP Info 3'!H37</f>
        <v>105000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10170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722070</v>
      </c>
      <c r="D5061" s="2" t="str">
        <f t="shared" si="78"/>
        <v>Error?</v>
      </c>
    </row>
    <row r="5062" spans="1:4" x14ac:dyDescent="0.2">
      <c r="A5062" s="10">
        <v>5001</v>
      </c>
      <c r="B5062" s="1832"/>
      <c r="D5062" s="2" t="str">
        <f t="shared" si="78"/>
        <v>OK</v>
      </c>
    </row>
    <row r="5063" spans="1:4" x14ac:dyDescent="0.2">
      <c r="A5063" s="5">
        <v>5002</v>
      </c>
      <c r="B5063" s="1832">
        <f>'Revenues 9-14'!C7</f>
        <v>10195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742435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69701</v>
      </c>
      <c r="D5069" s="2" t="str">
        <f t="shared" si="78"/>
        <v>Error?</v>
      </c>
    </row>
    <row r="5070" spans="1:4" x14ac:dyDescent="0.2">
      <c r="A5070" s="5">
        <v>5009</v>
      </c>
      <c r="B5070" s="1832">
        <f>'Revenues 9-14'!C17</f>
        <v>2454</v>
      </c>
      <c r="D5070" s="2" t="str">
        <f t="shared" si="78"/>
        <v>Error?</v>
      </c>
    </row>
    <row r="5071" spans="1:4" x14ac:dyDescent="0.2">
      <c r="A5071" s="5">
        <v>5010</v>
      </c>
      <c r="B5071" s="1832">
        <f>'Revenues 9-14'!C18</f>
        <v>72155</v>
      </c>
      <c r="C5071" s="2" t="s">
        <v>569</v>
      </c>
      <c r="D5071" s="2" t="str">
        <f t="shared" si="78"/>
        <v>Error?</v>
      </c>
    </row>
    <row r="5072" spans="1:4" x14ac:dyDescent="0.2">
      <c r="A5072" s="5">
        <v>5011</v>
      </c>
      <c r="B5072" s="1832">
        <f>'Revenues 9-14'!C20</f>
        <v>500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500</v>
      </c>
      <c r="C5087" s="2" t="s">
        <v>569</v>
      </c>
      <c r="D5087" s="2" t="str">
        <f t="shared" si="78"/>
        <v>Error?</v>
      </c>
    </row>
    <row r="5088" spans="1:4" x14ac:dyDescent="0.2">
      <c r="A5088" s="5">
        <v>5027</v>
      </c>
      <c r="B5088" s="1832">
        <f>'Revenues 9-14'!C65</f>
        <v>11915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11915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75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11450</v>
      </c>
      <c r="C5096" s="2" t="s">
        <v>569</v>
      </c>
      <c r="D5096" s="2" t="str">
        <f t="shared" si="78"/>
        <v>Error?</v>
      </c>
    </row>
    <row r="5097" spans="1:4" x14ac:dyDescent="0.2">
      <c r="A5097" s="5">
        <v>5036</v>
      </c>
      <c r="B5097" s="1832">
        <f>'Revenues 9-14'!C77</f>
        <v>1842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840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2682</v>
      </c>
      <c r="C5102" s="2" t="s">
        <v>569</v>
      </c>
      <c r="D5102" s="2" t="str">
        <f t="shared" si="78"/>
        <v>Error?</v>
      </c>
    </row>
    <row r="5103" spans="1:4" x14ac:dyDescent="0.2">
      <c r="A5103" s="5">
        <v>5042</v>
      </c>
      <c r="B5103" s="1832">
        <f>'Revenues 9-14'!C84</f>
        <v>3461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3461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2894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20680</v>
      </c>
      <c r="D5119" s="2" t="str">
        <f t="shared" ref="D5119:D5182" si="79">IF(ISBLANK(B5119),"OK",IF(A5119-B5119=0,"OK","Error?"))</f>
        <v>Error?</v>
      </c>
    </row>
    <row r="5120" spans="1:4" x14ac:dyDescent="0.2">
      <c r="A5120" s="5">
        <v>5059</v>
      </c>
      <c r="B5120" s="1832">
        <f>'Revenues 9-14'!C108</f>
        <v>23574</v>
      </c>
      <c r="C5120" s="2" t="s">
        <v>569</v>
      </c>
      <c r="D5120" s="2" t="str">
        <f t="shared" si="79"/>
        <v>Error?</v>
      </c>
    </row>
    <row r="5121" spans="1:4" x14ac:dyDescent="0.2">
      <c r="A5121" s="5">
        <v>5060</v>
      </c>
      <c r="B5121" s="1832">
        <f>'Revenues 9-14'!C109</f>
        <v>868172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62564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62564</v>
      </c>
      <c r="C5132" s="2" t="s">
        <v>569</v>
      </c>
      <c r="D5132" s="2" t="str">
        <f t="shared" si="79"/>
        <v>Error?</v>
      </c>
    </row>
    <row r="5133" spans="1:4" x14ac:dyDescent="0.2">
      <c r="A5133" s="5">
        <v>5072</v>
      </c>
      <c r="B5133" s="1832">
        <f>'Revenues 9-14'!C125</f>
        <v>32071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32071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243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71814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134378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17494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4453</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21947</v>
      </c>
      <c r="C5246" s="2" t="s">
        <v>569</v>
      </c>
      <c r="D5246" s="2" t="str">
        <f t="shared" si="80"/>
        <v>Error?</v>
      </c>
    </row>
    <row r="5247" spans="1:4" x14ac:dyDescent="0.2">
      <c r="A5247" s="5">
        <v>5186</v>
      </c>
      <c r="B5247" s="1832">
        <f>'Revenues 9-14'!C200</f>
        <v>12663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7300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12663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19953</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19953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82063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82063</v>
      </c>
      <c r="C5326" s="2" t="s">
        <v>569</v>
      </c>
      <c r="D5326" s="2" t="str">
        <f t="shared" si="82"/>
        <v>Error?</v>
      </c>
    </row>
    <row r="5327" spans="1:5" x14ac:dyDescent="0.2">
      <c r="A5327" s="5">
        <v>5266</v>
      </c>
      <c r="B5327" s="1832">
        <f>'Revenues 9-14'!C268</f>
        <v>1084613</v>
      </c>
      <c r="C5327" s="2" t="s">
        <v>569</v>
      </c>
      <c r="D5327" s="2" t="str">
        <f t="shared" si="82"/>
        <v>Error?</v>
      </c>
    </row>
    <row r="5328" spans="1:5" x14ac:dyDescent="0.2">
      <c r="A5328" s="5">
        <v>5267</v>
      </c>
      <c r="B5328" s="1832">
        <f>'Revenues 9-14'!D5</f>
        <v>193722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193722</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274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274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165</v>
      </c>
      <c r="D5354" s="2" t="str">
        <f t="shared" si="82"/>
        <v>Error?</v>
      </c>
    </row>
    <row r="5355" spans="1:4" x14ac:dyDescent="0.2">
      <c r="A5355" s="5">
        <v>5294</v>
      </c>
      <c r="B5355" s="1832">
        <f>'Revenues 9-14'!D108</f>
        <v>165</v>
      </c>
      <c r="C5355" s="2" t="s">
        <v>569</v>
      </c>
      <c r="D5355" s="2" t="str">
        <f t="shared" si="82"/>
        <v>Error?</v>
      </c>
    </row>
    <row r="5356" spans="1:4" x14ac:dyDescent="0.2">
      <c r="A5356" s="5">
        <v>5295</v>
      </c>
      <c r="B5356" s="1832">
        <f>'Revenues 9-14'!D109</f>
        <v>194161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194161</v>
      </c>
      <c r="C5508" s="2" t="s">
        <v>569</v>
      </c>
      <c r="D5508" s="2" t="str">
        <f t="shared" si="85"/>
        <v>Error?</v>
      </c>
    </row>
    <row r="5509" spans="1:4" x14ac:dyDescent="0.2">
      <c r="A5509" s="5">
        <v>5448</v>
      </c>
      <c r="B5509" s="1832">
        <f>'Revenues 9-14'!E5</f>
        <v>37760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37760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37843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37843</v>
      </c>
      <c r="C5552" s="2" t="s">
        <v>569</v>
      </c>
      <c r="D5552" s="2" t="str">
        <f t="shared" si="85"/>
        <v>Error?</v>
      </c>
    </row>
    <row r="5553" spans="1:4" x14ac:dyDescent="0.2">
      <c r="A5553" s="5">
        <v>5492</v>
      </c>
      <c r="B5553" s="1832">
        <f>'Revenues 9-14'!F5</f>
        <v>61019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61019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77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77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61096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41436</v>
      </c>
      <c r="D5615" s="2" t="str">
        <f t="shared" si="86"/>
        <v>Error?</v>
      </c>
    </row>
    <row r="5616" spans="1:4" x14ac:dyDescent="0.2">
      <c r="A5616" s="10">
        <v>5555</v>
      </c>
      <c r="B5616" s="1832"/>
      <c r="D5616" s="2" t="str">
        <f t="shared" si="86"/>
        <v>OK</v>
      </c>
    </row>
    <row r="5617" spans="1:5" x14ac:dyDescent="0.2">
      <c r="A5617" s="5">
        <v>5556</v>
      </c>
      <c r="B5617" s="1832">
        <f>'Revenues 9-14'!F153</f>
        <v>46451</v>
      </c>
      <c r="D5617" s="2" t="str">
        <f t="shared" si="86"/>
        <v>Error?</v>
      </c>
    </row>
    <row r="5618" spans="1:5" x14ac:dyDescent="0.2">
      <c r="A5618" s="5">
        <v>5557</v>
      </c>
      <c r="B5618" s="1832">
        <f>'Revenues 9-14'!F155</f>
        <v>87887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87887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87887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148983</v>
      </c>
      <c r="C5720" s="2" t="s">
        <v>569</v>
      </c>
      <c r="D5720" s="2" t="str">
        <f t="shared" si="88"/>
        <v>Error?</v>
      </c>
    </row>
    <row r="5721" spans="1:4" x14ac:dyDescent="0.2">
      <c r="A5721" s="5">
        <v>5660</v>
      </c>
      <c r="B5721" s="1832">
        <f>'Revenues 9-14'!G5</f>
        <v>20386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22080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42466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38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42504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25425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25425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119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119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25544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25425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25425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76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76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25501</v>
      </c>
      <c r="C6023" s="2" t="s">
        <v>569</v>
      </c>
      <c r="D6023" s="2" t="str">
        <f t="shared" si="93"/>
        <v>Error?</v>
      </c>
    </row>
    <row r="6024" spans="1:5" x14ac:dyDescent="0.2">
      <c r="A6024" s="5">
        <v>5963</v>
      </c>
      <c r="B6024" s="1832">
        <f>'Revenues 9-14'!G109</f>
        <v>42504</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25544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25501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11375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3847</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65.94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71203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71203</v>
      </c>
      <c r="D6215" s="2" t="str">
        <f t="shared" si="96"/>
        <v>Error?</v>
      </c>
      <c r="E6215" s="2" t="s">
        <v>189</v>
      </c>
    </row>
    <row r="6216" spans="1:5" x14ac:dyDescent="0.2">
      <c r="A6216">
        <v>6155</v>
      </c>
      <c r="B6216" s="1832">
        <f>'Assets-Liab 5-6'!J41</f>
        <v>71203</v>
      </c>
      <c r="D6216" s="2" t="str">
        <f t="shared" si="96"/>
        <v>Error?</v>
      </c>
      <c r="E6216" s="2" t="s">
        <v>189</v>
      </c>
    </row>
    <row r="6217" spans="1:5" x14ac:dyDescent="0.2">
      <c r="A6217">
        <v>6156</v>
      </c>
      <c r="B6217" s="1832">
        <f>'Assets-Liab 5-6'!J4</f>
        <v>71203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40945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40945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40945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33710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33710</v>
      </c>
      <c r="D6229" s="2" t="str">
        <f t="shared" si="96"/>
        <v>Error?</v>
      </c>
      <c r="E6229" s="2" t="s">
        <v>189</v>
      </c>
    </row>
    <row r="6230" spans="1:5" x14ac:dyDescent="0.2">
      <c r="A6230">
        <v>6169</v>
      </c>
      <c r="B6230" s="1832">
        <f>'Acct Summary 7-8'!J20</f>
        <v>7235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7235</v>
      </c>
      <c r="D6263" s="2" t="str">
        <f t="shared" si="96"/>
        <v>Error?</v>
      </c>
      <c r="E6263" s="2" t="s">
        <v>189</v>
      </c>
    </row>
    <row r="6264" spans="1:5" x14ac:dyDescent="0.2">
      <c r="A6264">
        <v>6203</v>
      </c>
      <c r="B6264" s="1832">
        <f>'Acct Summary 7-8'!J79</f>
        <v>63968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71203</v>
      </c>
      <c r="D6266" s="2" t="str">
        <f t="shared" si="96"/>
        <v>Error?</v>
      </c>
      <c r="E6266" s="2" t="s">
        <v>189</v>
      </c>
    </row>
    <row r="6267" spans="1:5" x14ac:dyDescent="0.2">
      <c r="A6267">
        <v>6206</v>
      </c>
      <c r="B6267" s="1832">
        <f>'Acct Summary 7-8'!C82</f>
        <v>-190343</v>
      </c>
      <c r="D6267" s="2" t="str">
        <f t="shared" si="96"/>
        <v>Error?</v>
      </c>
      <c r="E6267" s="2" t="s">
        <v>189</v>
      </c>
    </row>
    <row r="6268" spans="1:5" x14ac:dyDescent="0.2">
      <c r="A6268">
        <v>6207</v>
      </c>
      <c r="B6268" s="1832">
        <f>'Acct Summary 7-8'!D82</f>
        <v>47906</v>
      </c>
      <c r="D6268" s="2" t="str">
        <f t="shared" si="96"/>
        <v>Error?</v>
      </c>
      <c r="E6268" s="2" t="s">
        <v>189</v>
      </c>
    </row>
    <row r="6269" spans="1:5" x14ac:dyDescent="0.2">
      <c r="A6269">
        <v>6208</v>
      </c>
      <c r="B6269" s="1832">
        <f>'Acct Summary 7-8'!E82</f>
        <v>-66562</v>
      </c>
      <c r="D6269" s="2" t="str">
        <f t="shared" si="96"/>
        <v>Error?</v>
      </c>
      <c r="E6269" s="2" t="s">
        <v>189</v>
      </c>
    </row>
    <row r="6270" spans="1:5" x14ac:dyDescent="0.2">
      <c r="A6270">
        <v>6209</v>
      </c>
      <c r="B6270" s="1832">
        <f>'Acct Summary 7-8'!F82</f>
        <v>21893</v>
      </c>
      <c r="D6270" s="2" t="str">
        <f t="shared" si="96"/>
        <v>Error?</v>
      </c>
      <c r="E6270" s="2" t="s">
        <v>189</v>
      </c>
    </row>
    <row r="6271" spans="1:5" x14ac:dyDescent="0.2">
      <c r="A6271">
        <v>6210</v>
      </c>
      <c r="B6271" s="1832">
        <f>'Acct Summary 7-8'!G82</f>
        <v>14155</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14544</v>
      </c>
      <c r="D6273" s="2" t="str">
        <f t="shared" si="97"/>
        <v>Error?</v>
      </c>
      <c r="E6273" s="2" t="s">
        <v>189</v>
      </c>
    </row>
    <row r="6274" spans="1:5" x14ac:dyDescent="0.2">
      <c r="A6274">
        <v>6213</v>
      </c>
      <c r="B6274" s="1832">
        <f>'Acct Summary 7-8'!J82</f>
        <v>7235</v>
      </c>
      <c r="D6274" s="2" t="str">
        <f t="shared" si="97"/>
        <v>Error?</v>
      </c>
      <c r="E6274" s="2" t="s">
        <v>189</v>
      </c>
    </row>
    <row r="6275" spans="1:5" x14ac:dyDescent="0.2">
      <c r="A6275">
        <v>6214</v>
      </c>
      <c r="B6275" s="1832">
        <f>'Acct Summary 7-8'!K82</f>
        <v>-2794</v>
      </c>
      <c r="D6275" s="2" t="str">
        <f t="shared" si="97"/>
        <v>Error?</v>
      </c>
      <c r="E6275" s="2" t="s">
        <v>189</v>
      </c>
    </row>
    <row r="6276" spans="1:5" x14ac:dyDescent="0.2">
      <c r="A6276">
        <v>6215</v>
      </c>
      <c r="B6276" s="1832">
        <f>'Acct Summary 7-8'!C83</f>
        <v>-0.86803234206337987</v>
      </c>
      <c r="D6276" s="2" t="str">
        <f t="shared" si="97"/>
        <v>Error?</v>
      </c>
      <c r="E6276" s="2" t="s">
        <v>189</v>
      </c>
    </row>
    <row r="6277" spans="1:5" x14ac:dyDescent="0.2">
      <c r="A6277">
        <v>6216</v>
      </c>
      <c r="B6277" s="1832">
        <f>'Acct Summary 7-8'!D83</f>
        <v>0.43639378011787533</v>
      </c>
      <c r="D6277" s="2" t="str">
        <f t="shared" si="97"/>
        <v>Error?</v>
      </c>
      <c r="E6277" s="2" t="s">
        <v>189</v>
      </c>
    </row>
    <row r="6278" spans="1:5" x14ac:dyDescent="0.2">
      <c r="A6278">
        <v>6217</v>
      </c>
      <c r="B6278" s="1832">
        <f>'Acct Summary 7-8'!E83</f>
        <v>-22.764021887824896</v>
      </c>
      <c r="D6278" s="2" t="str">
        <f t="shared" si="97"/>
        <v>Error?</v>
      </c>
      <c r="E6278" s="2" t="s">
        <v>189</v>
      </c>
    </row>
    <row r="6279" spans="1:5" x14ac:dyDescent="0.2">
      <c r="A6279">
        <v>6218</v>
      </c>
      <c r="B6279" s="1832">
        <f>'Acct Summary 7-8'!F83</f>
        <v>0.40005481955230698</v>
      </c>
      <c r="D6279" s="2" t="str">
        <f t="shared" si="97"/>
        <v>Error?</v>
      </c>
      <c r="E6279" s="2" t="s">
        <v>189</v>
      </c>
    </row>
    <row r="6280" spans="1:5" x14ac:dyDescent="0.2">
      <c r="A6280">
        <v>6219</v>
      </c>
      <c r="B6280" s="1832">
        <f>'Acct Summary 7-8'!G83</f>
        <v>0.36118907884664453</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6.1311726963838561E-2</v>
      </c>
      <c r="D6282" s="2" t="str">
        <f t="shared" si="97"/>
        <v>Error?</v>
      </c>
      <c r="E6282" s="2" t="s">
        <v>189</v>
      </c>
    </row>
    <row r="6283" spans="1:5" x14ac:dyDescent="0.2">
      <c r="A6283">
        <v>6222</v>
      </c>
      <c r="B6283" s="1832">
        <f>'Acct Summary 7-8'!J83</f>
        <v>0.10161088718171987</v>
      </c>
      <c r="D6283" s="2" t="str">
        <f t="shared" si="97"/>
        <v>Error?</v>
      </c>
      <c r="E6283" s="2" t="s">
        <v>189</v>
      </c>
    </row>
    <row r="6284" spans="1:5" x14ac:dyDescent="0.2">
      <c r="A6284">
        <v>6223</v>
      </c>
      <c r="B6284" s="1832">
        <f>'Acct Summary 7-8'!K83</f>
        <v>-0.10102690193809662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40767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40767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178</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178</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40945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9632</v>
      </c>
      <c r="D6880" s="2" t="str">
        <f t="shared" si="106"/>
        <v>Error?</v>
      </c>
    </row>
    <row r="6881" spans="1:4" x14ac:dyDescent="0.2">
      <c r="A6881">
        <v>6820</v>
      </c>
      <c r="B6881" s="1832">
        <f>'Expenditures 15-22'!K22</f>
        <v>9632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33710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40945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7594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7594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10957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10957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775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775</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33710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33710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33710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33710</v>
      </c>
      <c r="D7224" s="2" t="str">
        <f t="shared" si="111"/>
        <v>Error?</v>
      </c>
    </row>
    <row r="7225" spans="1:4" x14ac:dyDescent="0.2">
      <c r="A7225">
        <v>7164</v>
      </c>
      <c r="B7225" s="1832">
        <f>'Expenditures 15-22'!K343</f>
        <v>7235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75954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14384</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14384</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5304</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11000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300000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-67007</v>
      </c>
      <c r="D7820" s="2" t="str">
        <f t="shared" si="128"/>
        <v>Error?</v>
      </c>
    </row>
    <row r="7821" spans="1:5" x14ac:dyDescent="0.2">
      <c r="A7821">
        <v>7760</v>
      </c>
      <c r="B7821" s="1832">
        <f>'ICR Computation 30'!G40</f>
        <v>-67007</v>
      </c>
      <c r="D7821" s="2" t="str">
        <f t="shared" si="128"/>
        <v>Error?</v>
      </c>
    </row>
    <row r="7822" spans="1:5" x14ac:dyDescent="0.2">
      <c r="A7822" s="1">
        <v>7761</v>
      </c>
      <c r="B7822" s="1832">
        <f>'PCTC-OEPP 27-28'!F14</f>
        <v>1725765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212204</v>
      </c>
      <c r="D7834" s="2" t="str">
        <f t="shared" si="129"/>
        <v>Error?</v>
      </c>
      <c r="E7834" s="4" t="s">
        <v>1998</v>
      </c>
    </row>
    <row r="7835" spans="1:5" x14ac:dyDescent="0.2">
      <c r="A7835">
        <v>7774</v>
      </c>
      <c r="B7835" s="1832">
        <f>'PCTC-OEPP 27-28'!F78</f>
        <v>1513561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22953.609341825904</v>
      </c>
      <c r="D7837" s="2" t="str">
        <f t="shared" si="129"/>
        <v>Error?</v>
      </c>
      <c r="E7837" s="4" t="s">
        <v>1998</v>
      </c>
    </row>
    <row r="7838" spans="1:5" x14ac:dyDescent="0.2">
      <c r="A7838">
        <v>7777</v>
      </c>
      <c r="B7838" s="1832">
        <f>'PCTC-OEPP 27-28'!F96</f>
        <v>2682</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32071</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87887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39500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13394</v>
      </c>
      <c r="D7857" s="2" t="str">
        <f t="shared" si="129"/>
        <v>Error?</v>
      </c>
      <c r="E7857" s="4" t="s">
        <v>1998</v>
      </c>
    </row>
    <row r="7858" spans="1:5" x14ac:dyDescent="0.2">
      <c r="A7858">
        <v>7797</v>
      </c>
      <c r="B7858" s="1832">
        <f>'PCTC-OEPP 27-28'!F126</f>
        <v>21947</v>
      </c>
      <c r="D7858" s="2" t="str">
        <f t="shared" si="129"/>
        <v>Error?</v>
      </c>
      <c r="E7858" s="4" t="s">
        <v>1998</v>
      </c>
    </row>
    <row r="7859" spans="1:5" x14ac:dyDescent="0.2">
      <c r="A7859">
        <v>7798</v>
      </c>
      <c r="B7859" s="1832">
        <f>'PCTC-OEPP 27-28'!F127</f>
        <v>12663</v>
      </c>
      <c r="D7859" s="2" t="str">
        <f t="shared" si="129"/>
        <v>Error?</v>
      </c>
      <c r="E7859" s="4" t="s">
        <v>1998</v>
      </c>
    </row>
    <row r="7860" spans="1:5" x14ac:dyDescent="0.2">
      <c r="A7860">
        <v>7799</v>
      </c>
      <c r="B7860" s="1832">
        <f>'PCTC-OEPP 27-28'!F128</f>
        <v>7300</v>
      </c>
      <c r="D7860" s="2" t="str">
        <f t="shared" si="129"/>
        <v>Error?</v>
      </c>
      <c r="E7860" s="4" t="s">
        <v>1998</v>
      </c>
    </row>
    <row r="7861" spans="1:5" x14ac:dyDescent="0.2">
      <c r="A7861">
        <v>7800</v>
      </c>
      <c r="B7861" s="1832">
        <f>'PCTC-OEPP 27-28'!F129</f>
        <v>19953</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1923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4883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259357</v>
      </c>
      <c r="D7877" s="2" t="str">
        <f t="shared" si="129"/>
        <v>Error?</v>
      </c>
      <c r="E7877" s="4" t="s">
        <v>1998</v>
      </c>
    </row>
    <row r="7878" spans="1:5" x14ac:dyDescent="0.2">
      <c r="A7878">
        <v>7817</v>
      </c>
      <c r="B7878" s="1832">
        <f>'PCTC-OEPP 27-28'!F176</f>
        <v>1254204</v>
      </c>
      <c r="D7878" s="2" t="str">
        <f t="shared" si="129"/>
        <v>Error?</v>
      </c>
      <c r="E7878" s="4" t="s">
        <v>1998</v>
      </c>
    </row>
    <row r="7879" spans="1:5" x14ac:dyDescent="0.2">
      <c r="A7879">
        <v>7818</v>
      </c>
      <c r="B7879" s="1832">
        <f>'PCTC-OEPP 27-28'!F178</f>
        <v>1330158</v>
      </c>
      <c r="D7879" s="2" t="str">
        <f t="shared" si="129"/>
        <v>Error?</v>
      </c>
      <c r="E7879" s="4" t="s">
        <v>1998</v>
      </c>
    </row>
    <row r="7880" spans="1:5" x14ac:dyDescent="0.2">
      <c r="A7880">
        <v>7819</v>
      </c>
      <c r="B7880" s="1832">
        <f>'PCTC-OEPP 27-28'!F180</f>
        <v>20172.247497725206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Allen-Otter Creek CCSD 65</v>
      </c>
      <c r="B7" s="2536"/>
      <c r="C7" s="2536"/>
      <c r="D7" s="2537"/>
      <c r="E7" s="2538">
        <f>COVER!A13</f>
        <v>35050065004</v>
      </c>
      <c r="F7" s="2539"/>
      <c r="G7" s="2545" t="str">
        <f>COVER!T23</f>
        <v>066-005100</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Mack &amp; Associates, P.C.</v>
      </c>
      <c r="H9" s="2551"/>
      <c r="I9" s="2551"/>
      <c r="J9" s="2551"/>
      <c r="K9" s="2551"/>
      <c r="L9" s="2552"/>
    </row>
    <row r="10" spans="1:29" ht="13.5" customHeight="1" x14ac:dyDescent="0.2">
      <c r="A10" s="2524" t="str">
        <f>COVER!A38</f>
        <v>Mary Pat Baima</v>
      </c>
      <c r="B10" s="2525"/>
      <c r="C10" s="2525"/>
      <c r="D10" s="2525"/>
      <c r="E10" s="2525"/>
      <c r="F10" s="2526"/>
      <c r="G10" s="2518" t="str">
        <f>COVER!T17</f>
        <v>116 E Washington St. Suite One</v>
      </c>
      <c r="H10" s="2519"/>
      <c r="I10" s="2519"/>
      <c r="J10" s="2519"/>
      <c r="K10" s="2519"/>
      <c r="L10" s="2520"/>
    </row>
    <row r="11" spans="1:29" ht="13.5" customHeight="1" x14ac:dyDescent="0.2">
      <c r="A11" s="963" t="s">
        <v>1502</v>
      </c>
      <c r="B11" s="964"/>
      <c r="C11" s="965"/>
      <c r="D11" s="970"/>
      <c r="E11" s="965"/>
      <c r="F11" s="969"/>
      <c r="G11" s="2518" t="str">
        <f>COVER!T19</f>
        <v>Morris</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tmack@mackcpas.com</v>
      </c>
      <c r="J13" s="2531"/>
      <c r="K13" s="2531"/>
      <c r="L13" s="2532"/>
    </row>
    <row r="14" spans="1:29" ht="13.5" customHeight="1" x14ac:dyDescent="0.2">
      <c r="A14" s="2518" t="str">
        <f>COVER!A19</f>
        <v>400 S. Lane Street</v>
      </c>
      <c r="B14" s="2519"/>
      <c r="C14" s="2519"/>
      <c r="D14" s="2519"/>
      <c r="E14" s="2519"/>
      <c r="F14" s="2520"/>
      <c r="G14" s="974" t="s">
        <v>1175</v>
      </c>
      <c r="H14" s="972"/>
      <c r="I14" s="972"/>
      <c r="J14" s="972"/>
      <c r="K14" s="972"/>
      <c r="L14" s="973"/>
    </row>
    <row r="15" spans="1:29" ht="13.5" customHeight="1" x14ac:dyDescent="0.2">
      <c r="A15" s="2518" t="str">
        <f>COVER!A21</f>
        <v>Ransom</v>
      </c>
      <c r="B15" s="2519"/>
      <c r="C15" s="2519"/>
      <c r="D15" s="2519"/>
      <c r="E15" s="2519"/>
      <c r="F15" s="2520"/>
      <c r="G15" s="2515" t="str">
        <f>COVER!T15</f>
        <v>Tawnya Mack, CPA</v>
      </c>
      <c r="H15" s="2516"/>
      <c r="I15" s="2516"/>
      <c r="J15" s="2516"/>
      <c r="K15" s="2516"/>
      <c r="L15" s="2517"/>
    </row>
    <row r="16" spans="1:29" ht="12.2" customHeight="1" x14ac:dyDescent="0.2">
      <c r="A16" s="2541">
        <f>COVER!A25</f>
        <v>60470</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815-942-3306</v>
      </c>
      <c r="H18" s="2536"/>
      <c r="I18" s="2536"/>
      <c r="J18" s="2536"/>
      <c r="K18" s="2535" t="str">
        <f>COVER!X21</f>
        <v>815-942-9430</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Allen-Otter Creek CCSD 65</v>
      </c>
      <c r="B1" s="2558"/>
      <c r="C1" s="2558"/>
      <c r="D1" s="2558"/>
    </row>
    <row r="2" spans="1:11" s="991" customFormat="1" ht="12.75" x14ac:dyDescent="0.2">
      <c r="A2" s="2559">
        <f>'Single Audit Cover'!E7</f>
        <v>35050065004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Allen-Otter Creek CCSD 65</v>
      </c>
      <c r="B1" s="2562"/>
      <c r="C1" s="2562"/>
      <c r="D1" s="2562"/>
      <c r="E1" s="2562"/>
    </row>
    <row r="2" spans="1:5" x14ac:dyDescent="0.2">
      <c r="A2" s="2563">
        <f>'Single Audit Cover'!E7</f>
        <v>35050065004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82063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3847</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-4883</v>
      </c>
    </row>
    <row r="19" spans="1:4" ht="13.5" thickBot="1" x14ac:dyDescent="0.25">
      <c r="A19" s="1041" t="s">
        <v>1224</v>
      </c>
      <c r="D19" s="1042">
        <f>SUM(D10:D17)</f>
        <v>81027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81027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81027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Allen-Otter Creek CCSD 65</v>
      </c>
      <c r="C1" s="2566"/>
      <c r="D1" s="2566"/>
      <c r="E1" s="2566"/>
      <c r="F1" s="2566"/>
      <c r="G1" s="2566"/>
      <c r="H1" s="2566"/>
      <c r="I1" s="2566"/>
      <c r="J1" s="2566"/>
      <c r="K1" s="2566"/>
      <c r="L1" s="2566"/>
      <c r="M1" s="2566"/>
    </row>
    <row r="2" spans="2:14" ht="15" x14ac:dyDescent="0.2">
      <c r="B2" s="2567">
        <f>'Single Audit Cover'!E7</f>
        <v>35050065004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Allen-Otter Creek CCSD 65</v>
      </c>
      <c r="B1" s="2579"/>
      <c r="C1" s="2579"/>
      <c r="D1" s="2579"/>
      <c r="E1" s="2579"/>
      <c r="F1" s="2579"/>
    </row>
    <row r="2" spans="1:7" ht="13.5" customHeight="1" x14ac:dyDescent="0.2">
      <c r="A2" s="2567">
        <f>'Single Audit Cover'!E7</f>
        <v>35050065004</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Allen-Otter Creek CCSD 65</v>
      </c>
      <c r="C1" s="2594"/>
      <c r="D1" s="2594"/>
      <c r="E1" s="2594"/>
      <c r="F1" s="2594"/>
      <c r="G1" s="2594"/>
      <c r="H1" s="2594"/>
      <c r="I1" s="2594"/>
      <c r="J1" s="1178"/>
    </row>
    <row r="2" spans="2:10" s="295" customFormat="1" ht="12.75" customHeight="1" x14ac:dyDescent="0.2">
      <c r="B2" s="2595">
        <f>'Single Audit Cover'!E7</f>
        <v>35050065004</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Allen-Otter Creek CCSD 65</v>
      </c>
      <c r="C1" s="2593"/>
      <c r="D1" s="2593"/>
      <c r="E1" s="2593"/>
      <c r="F1" s="2593"/>
      <c r="G1" s="2593"/>
      <c r="H1" s="2593"/>
      <c r="I1" s="2593"/>
      <c r="J1" s="2593"/>
      <c r="K1" s="2593"/>
      <c r="L1" s="1144"/>
      <c r="M1" s="1144"/>
    </row>
    <row r="2" spans="1:13" ht="12" customHeight="1" x14ac:dyDescent="0.2">
      <c r="B2" s="2595">
        <f>'Single Audit Cover'!E7</f>
        <v>35050065004</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Allen-Otter Creek CCSD 65</v>
      </c>
      <c r="C1" s="2616"/>
      <c r="D1" s="2616"/>
      <c r="E1" s="2616"/>
      <c r="F1" s="2616"/>
      <c r="G1" s="2616"/>
      <c r="H1" s="2616"/>
      <c r="I1" s="2616"/>
      <c r="J1" s="2616"/>
      <c r="K1" s="2616"/>
      <c r="L1" s="1221"/>
    </row>
    <row r="2" spans="1:12" ht="12.75" customHeight="1" x14ac:dyDescent="0.2">
      <c r="B2" s="2617">
        <f>'Single Audit Cover'!E7</f>
        <v>35050065004</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Allen-Otter Creek CCSD 65</v>
      </c>
      <c r="C1" s="2593"/>
      <c r="D1" s="2593"/>
      <c r="E1" s="1240"/>
    </row>
    <row r="2" spans="2:5" s="1058" customFormat="1" ht="12.75" customHeight="1" x14ac:dyDescent="0.2">
      <c r="B2" s="2595">
        <f>'Single Audit Cover'!E7</f>
        <v>35050065004</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6ce3111e-7420-4802-b50a-75d4e9a0b980"/>
    <ds:schemaRef ds:uri="http://schemas.microsoft.com/sharepoint/v3"/>
    <ds:schemaRef ds:uri="d21dc803-237d-4c68-8692-8d731fd29118"/>
    <ds:schemaRef ds:uri="http://www.w3.org/XML/1998/namespace"/>
    <ds:schemaRef ds:uri="http://purl.org/dc/elements/1.1/"/>
    <ds:schemaRef ds:uri="http://schemas.microsoft.com/office/2006/metadata/properties"/>
    <ds:schemaRef ds:uri="4d435f69-8686-490b-bd6d-b153bf22ab50"/>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2020-11-02T15:10:29Z</cp:lastPrinted>
  <dcterms:created xsi:type="dcterms:W3CDTF">2003-10-29T19:06:34Z</dcterms:created>
  <dcterms:modified xsi:type="dcterms:W3CDTF">2020-11-12T01:38:53Z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