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D14B080-9F66-419B-81FC-EFD4943DF629}"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4" i="3" l="1"/>
  <c r="C9" i="4"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342" i="29" l="1"/>
  <c r="H33" i="118"/>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B3621" i="106" s="1"/>
  <c r="D3621" i="106" s="1"/>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7235" i="106"/>
  <c r="D7235" i="106" s="1"/>
  <c r="H19" i="184"/>
  <c r="L20" i="184" s="1"/>
  <c r="D44" i="36"/>
  <c r="C367" i="29"/>
  <c r="B3622" i="106" s="1"/>
  <c r="D3622" i="106" s="1"/>
  <c r="F41" i="108"/>
  <c r="G43" i="108" s="1"/>
  <c r="L114" i="29"/>
  <c r="B5527" i="106"/>
  <c r="D5527" i="106" s="1"/>
  <c r="K342" i="29"/>
  <c r="F13" i="34" s="1"/>
  <c r="G170" i="5"/>
  <c r="B5778" i="106" s="1"/>
  <c r="D5778" i="106" s="1"/>
  <c r="N57" i="184"/>
  <c r="N68" i="184" s="1"/>
  <c r="E68" i="184"/>
  <c r="E19" i="184"/>
  <c r="E367" i="29"/>
  <c r="B3635" i="106"/>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20" i="4"/>
  <c r="F77" i="34"/>
  <c r="B7834" i="106" s="1"/>
  <c r="D7834" i="106" s="1"/>
  <c r="B6227" i="106"/>
  <c r="D6227"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<sst xmlns="http://schemas.openxmlformats.org/spreadsheetml/2006/main" count="5146" uniqueCount="2084">
  <si>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</si>
  <si>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</si>
  <si>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</si>
  <si>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</si>
  <si>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</si>
  <si>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</si>
  <si>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</si>
  <si>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</si>
  <si>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</si>
  <si>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</si>
  <si>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</si>
  <si>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</si>
  <si>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</si>
  <si>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</si>
  <si>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</si>
  <si>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</si>
  <si>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</si>
  <si>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</si>
  <si>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</si>
  <si>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</si>
  <si>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</si>
  <si>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</si>
  <si>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</si>
  <si>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</si>
  <si>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</si>
  <si>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</si>
  <si>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</si>
  <si>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</si>
  <si>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</si>
  <si>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</si>
  <si>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</si>
  <si>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</si>
  <si>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</si>
  <si>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</si>
  <si>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</si>
  <si>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</si>
  <si>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</si>
  <si>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</si>
  <si>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</si>
  <si>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</si>
  <si>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</si>
  <si>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</si>
  <si>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</si>
  <si>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</si>
  <si>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</si>
  <si>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</si>
  <si>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</si>
  <si>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</si>
  <si>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</si>
  <si>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</si>
  <si>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</si>
  <si>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</si>
  <si>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</si>
  <si>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</si>
  <si>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</si>
  <si>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</si>
  <si>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</si>
  <si>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</si>
  <si>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</si>
  <si>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</si>
  <si>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</si>
  <si>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</si>
  <si>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</si>
  <si>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</si>
  <si>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</si>
  <si>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</si>
  <si>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</si>
  <si>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</si>
  <si>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</si>
  <si>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</si>
  <si>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</si>
  <si>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</si>
  <si>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</si>
  <si>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</si>
  <si>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</si>
  <si>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</si>
  <si>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</si>
  <si>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</si>
  <si>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</si>
  <si>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</si>
  <si>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</si>
  <si>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</si>
  <si>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</si>
  <si>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</si>
  <si>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</si>
  <si>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</si>
  <si>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</si>
  <si>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</si>
  <si>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</si>
  <si>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</si>
  <si>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</si>
  <si>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</si>
  <si>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</si>
  <si>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</si>
  <si>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</si>
  <si>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</si>
  <si>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</si>
  <si>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</si>
  <si>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</si>
  <si>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</si>
  <si>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</si>
  <si>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</si>
  <si>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</si>
  <si>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</si>
  <si>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</si>
  <si>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</si>
  <si>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</si>
  <si>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</si>
  <si>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</si>
  <si>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</si>
  <si>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</si>
  <si>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</si>
  <si>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</si>
  <si>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</si>
  <si>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</si>
  <si>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</si>
  <si>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</si>
  <si>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</si>
  <si>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</si>
  <si>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</si>
  <si>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</si>
  <si>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</si>
  <si>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</si>
  <si>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</si>
  <si>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</si>
  <si>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</si>
  <si>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</si>
  <si>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</si>
  <si>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</si>
  <si>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</si>
  <si>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</si>
  <si>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</si>
  <si>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</si>
  <si>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</si>
  <si>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</si>
  <si>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</si>
  <si>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</si>
  <si>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</si>
  <si>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</si>
  <si>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</si>
  <si>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</si>
  <si>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</si>
  <si>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</si>
  <si>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</si>
  <si>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</si>
  <si>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</si>
  <si>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</si>
  <si>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</si>
  <si>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</si>
  <si>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</si>
  <si>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</si>
  <si>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</si>
  <si>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</si>
  <si>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</si>
  <si>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</si>
  <si>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</si>
  <si>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</si>
  <si>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</si>
  <si>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</si>
  <si>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</si>
  <si>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</si>
  <si>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</si>
  <si>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</si>
  <si>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</si>
  <si>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</si>
  <si>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</si>
  <si>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</si>
  <si>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</si>
  <si>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</si>
  <si>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</si>
  <si>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</si>
  <si>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</si>
  <si>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</si>
  <si>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</si>
  <si>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</si>
  <si>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</si>
  <si>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</si>
  <si>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</si>
  <si>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</si>
  <si>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</si>
  <si>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</si>
  <si>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</si>
  <si>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</si>
  <si>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</si>
  <si>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</si>
  <si>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</si>
  <si>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</si>
  <si>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</si>
  <si>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</si>
  <si>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</si>
  <si>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</si>
  <si>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</si>
  <si>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</si>
  <si>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</si>
  <si>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</si>
  <si>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</si>
  <si>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</si>
  <si>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</si>
  <si>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</si>
  <si>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</si>
  <si>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</si>
  <si>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</si>
  <si>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</si>
  <si>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</si>
  <si>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</si>
  <si>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</si>
  <si>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</si>
  <si>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</si>
  <si>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</si>
  <si>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</si>
  <si>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</si>
  <si>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</si>
  <si>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</si>
  <si>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</si>
  <si>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</si>
  <si>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</si>
  <si>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</si>
  <si>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</si>
  <si>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</si>
  <si>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</si>
  <si>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</si>
  <si>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</si>
  <si>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</si>
  <si>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</si>
  <si>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</si>
  <si>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</si>
  <si>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</si>
  <si>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</si>
  <si>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</si>
  <si>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</si>
  <si>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</si>
  <si>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</si>
  <si>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</si>
  <si>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</si>
  <si>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</si>
  <si>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</si>
  <si>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</si>
  <si>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</si>
  <si>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</si>
  <si>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</si>
  <si>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</si>
  <si>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</si>
  <si>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</si>
  <si>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</si>
  <si>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</si>
  <si>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</si>
  <si>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</si>
  <si>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</si>
  <si>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</si>
  <si>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</si>
  <si>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</si>
  <si>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</si>
  <si>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</si>
  <si>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</si>
  <si>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</si>
  <si>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</si>
  <si>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</si>
  <si>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</si>
  <si>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</si>
  <si>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</si>
  <si>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</si>
  <si>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</si>
  <si>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</si>
  <si>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</si>
  <si>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</si>
  <si>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</si>
  <si>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</si>
  <si>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</si>
  <si>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</si>
  <si>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</si>
  <si>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</si>
  <si>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</si>
  <si>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</si>
  <si>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</si>
  <si>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</si>
  <si>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</si>
  <si>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</si>
  <si>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</si>
  <si>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</si>
  <si>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</si>
  <si>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</si>
  <si>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</si>
  <si>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</si>
  <si>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</si>
  <si>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</si>
  <si>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</si>
  <si>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</si>
  <si>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</si>
  <si>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</si>
  <si>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</si>
  <si>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</si>
  <si>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</si>
  <si>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</si>
  <si>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</si>
  <si>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</si>
  <si>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</si>
  <si>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</si>
  <si>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</si>
  <si>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</si>
  <si>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</si>
  <si>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</si>
  <si>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</si>
  <si>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</si>
  <si>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</si>
  <si>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</si>
  <si>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</si>
  <si>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</si>
  <si>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</si>
  <si>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</si>
  <si>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</si>
  <si>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</si>
  <si>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</si>
  <si>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</si>
  <si>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</si>
  <si>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</si>
  <si>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</si>
  <si>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</si>
  <si>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</si>
  <si>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</si>
  <si>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</si>
  <si>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</si>
  <si>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</si>
  <si>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</si>
  <si>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</si>
  <si>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</si>
  <si>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</si>
  <si>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</si>
  <si>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</si>
  <si>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</si>
  <si>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</si>
  <si>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</si>
  <si>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</si>
  <si>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</si>
  <si>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</si>
  <si>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</si>
  <si>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</si>
  <si>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</si>
  <si>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</si>
  <si>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</si>
  <si>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</si>
  <si>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</si>
  <si>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</si>
  <si>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</si>
  <si>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</si>
  <si>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</si>
  <si>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</si>
  <si>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</si>
  <si>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</si>
  <si>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</si>
  <si>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</si>
  <si>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</si>
  <si>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</si>
  <si>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</si>
  <si>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</si>
  <si>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</si>
  <si>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</si>
  <si>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</si>
  <si>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</si>
  <si>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</si>
  <si>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</si>
  <si>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</si>
  <si>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</si>
  <si>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</si>
  <si>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</si>
  <si>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</si>
  <si>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</si>
  <si>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</si>
  <si>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</si>
  <si>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</si>
  <si>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</si>
  <si>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</si>
  <si>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</si>
  <si>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</si>
  <si>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</si>
  <si>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</si>
  <si>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</si>
  <si>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</si>
  <si>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</si>
  <si>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</si>
  <si>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</si>
  <si>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</si>
  <si>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</si>
  <si>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</si>
  <si>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</si>
  <si>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</si>
  <si>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</si>
  <si>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</si>
  <si>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</si>
  <si>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</si>
  <si>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</si>
  <si>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</si>
  <si>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</si>
  <si>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</si>
  <si>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</si>
  <si>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</si>
  <si>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</si>
  <si>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</si>
  <si>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</si>
  <si>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</si>
  <si>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</si>
  <si>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</si>
  <si>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</si>
  <si>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</si>
  <si>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</si>
  <si>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</si>
  <si>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</si>
  <si>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</si>
  <si>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</si>
  <si>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</si>
  <si>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</si>
  <si>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</si>
  <si>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</si>
  <si>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</si>
  <si>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</si>
  <si>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</si>
  <si>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</si>
  <si>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</si>
  <si>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</si>
  <si>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</si>
  <si>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</si>
  <si>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</si>
  <si>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</si>
  <si>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</si>
  <si>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</si>
  <si>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</si>
  <si>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</si>
  <si>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</si>
  <si>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</si>
  <si>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</si>
  <si>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</si>
  <si>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</si>
  <si>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</si>
  <si>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</si>
  <si>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</si>
  <si>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</si>
  <si>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</si>
  <si>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</si>
  <si>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</si>
  <si>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</si>
  <si>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</si>
  <si>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</si>
  <si>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</si>
  <si>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</si>
  <si>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</si>
  <si>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</si>
  <si>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</si>
  <si>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</si>
  <si>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</si>
  <si>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</si>
  <si>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</si>
  <si>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</si>
  <si>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</si>
  <si>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</si>
  <si>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</si>
  <si>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</si>
  <si>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</si>
  <si>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</si>
  <si>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</si>
  <si>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</si>
  <si>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</si>
  <si>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</si>
  <si>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</si>
  <si>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</si>
  <si>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</si>
  <si>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</si>
  <si>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</si>
  <si>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</si>
  <si>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</si>
  <si>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</si>
  <si>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</si>
  <si>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</si>
  <si>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</si>
  <si>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</si>
  <si>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</si>
  <si>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</si>
  <si>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</si>
  <si>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</si>
  <si>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</si>
  <si>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</si>
  <si>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</si>
  <si>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</si>
  <si>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</si>
  <si>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</si>
  <si>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</si>
  <si>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</si>
  <si>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</si>
  <si>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</si>
  <si>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</si>
  <si>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</si>
  <si>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</si>
  <si>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</si>
  <si>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</si>
  <si>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</si>
  <si>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</si>
  <si>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</si>
  <si>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</si>
  <si>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</si>
  <si>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</si>
  <si>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</si>
  <si>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</si>
  <si>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</si>
  <si>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</si>
  <si>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</si>
  <si>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</si>
  <si>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</si>
  <si>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</si>
  <si>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</si>
  <si>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</si>
  <si>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</si>
  <si>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</si>
  <si>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</si>
  <si>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</si>
  <si>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</si>
  <si>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</si>
  <si>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</si>
  <si>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</si>
  <si>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</si>
  <si>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</si>
  <si>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</si>
  <si>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</si>
  <si>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</si>
  <si>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</si>
  <si>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</si>
  <si>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</si>
  <si>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</si>
  <si>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</si>
  <si>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</si>
  <si>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</si>
  <si>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</si>
  <si>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</si>
  <si>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</si>
  <si>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</si>
  <si>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</si>
  <si>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</si>
  <si>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</si>
  <si>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</si>
  <si>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</si>
  <si>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</si>
  <si>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</si>
  <si>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</si>
  <si>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</si>
  <si>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</si>
  <si>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</si>
  <si>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</si>
  <si>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</si>
  <si>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</si>
  <si>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</si>
  <si>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</si>
  <si>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</si>
  <si>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</si>
  <si>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</si>
  <si>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</si>
  <si>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</si>
  <si>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</si>
  <si>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</si>
  <si>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</si>
  <si>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</si>
  <si>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</si>
  <si>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</si>
  <si>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</si>
  <si>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</si>
  <si>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</si>
  <si>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</si>
  <si>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</si>
  <si>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</si>
  <si>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</si>
  <si>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</si>
  <si>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</si>
  <si>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</si>
  <si>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</si>
  <si>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</si>
  <si>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</si>
  <si>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</si>
  <si>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</si>
  <si>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</si>
  <si>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</si>
  <si>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</si>
  <si>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</si>
  <si>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</si>
  <si>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</si>
  <si>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</si>
  <si>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</si>
  <si>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</si>
  <si>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</si>
  <si>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</si>
  <si>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</si>
  <si>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</si>
  <si>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</si>
  <si>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</si>
  <si>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</si>
  <si>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</si>
  <si>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</si>
  <si>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</si>
  <si>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</si>
  <si>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</si>
  <si>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</si>
  <si>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</si>
  <si>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</si>
  <si>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</si>
  <si>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</si>
  <si>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</si>
  <si>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</si>
  <si>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</si>
  <si>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</si>
  <si>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</si>
  <si>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</si>
  <si>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</si>
  <si>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</si>
  <si>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</si>
  <si>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</si>
  <si>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</si>
  <si>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</si>
  <si>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</si>
  <si>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</si>
  <si>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</si>
  <si>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</si>
  <si>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</si>
  <si>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</si>
  <si>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</si>
  <si>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</si>
  <si>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</si>
  <si>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</si>
  <si>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</si>
  <si>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</si>
  <si>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</si>
  <si>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</si>
  <si>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</si>
  <si>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</si>
  <si>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</si>
  <si>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</si>
  <si>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</si>
  <si>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</si>
  <si>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</si>
  <si>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</si>
  <si>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</si>
  <si>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</si>
  <si>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</si>
  <si>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</si>
  <si>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</si>
  <si>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</si>
  <si>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</si>
  <si>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</si>
  <si>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</si>
  <si>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</si>
  <si>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</si>
  <si>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</si>
  <si>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</si>
  <si>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</si>
  <si>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</si>
  <si>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</si>
  <si>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</si>
  <si>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</si>
  <si>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</si>
  <si>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</si>
  <si>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</si>
  <si>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</si>
  <si>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</si>
  <si>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</si>
  <si>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</si>
  <si>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</si>
  <si>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</si>
  <si>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</si>
  <si>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</si>
  <si>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</si>
  <si>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</si>
  <si>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</si>
  <si>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</si>
  <si>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</si>
  <si>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</si>
  <si>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</si>
  <si>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</si>
  <si>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</si>
  <si>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</si>
  <si>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</si>
  <si>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</si>
  <si>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</si>
  <si>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</si>
  <si>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</si>
  <si>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</si>
  <si>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</si>
  <si>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</si>
  <si>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</si>
  <si>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</si>
  <si>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</si>
  <si>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</si>
  <si>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</si>
  <si>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</si>
  <si>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</si>
  <si>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</si>
  <si>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</si>
  <si>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</si>
  <si>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</si>
  <si>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</si>
  <si>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</si>
  <si>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</si>
  <si>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</si>
  <si>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</si>
  <si>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</si>
  <si>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</si>
  <si>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</si>
  <si>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</si>
  <si>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</si>
  <si>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</si>
  <si>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</si>
  <si>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</si>
  <si>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</si>
  <si>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</si>
  <si>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</si>
  <si>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</si>
  <si>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</si>
  <si>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</si>
  <si>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</si>
  <si>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</si>
  <si>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</si>
  <si>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</si>
  <si>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</si>
  <si>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</si>
  <si>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</si>
  <si>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</si>
  <si>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</si>
  <si>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</si>
  <si>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</si>
  <si>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</si>
  <si>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</si>
  <si>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</si>
  <si>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</si>
  <si>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</si>
  <si>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</si>
  <si>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</si>
  <si>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</si>
  <si>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</si>
  <si>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</si>
  <si>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</si>
  <si>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</si>
  <si>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</si>
  <si>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</si>
  <si>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</si>
  <si>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</si>
  <si>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</si>
  <si>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</si>
  <si>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</si>
  <si>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</si>
  <si>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</si>
  <si>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</si>
  <si>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</si>
  <si>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</si>
  <si>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</si>
  <si>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</si>
  <si>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</si>
  <si>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</si>
  <si>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</si>
  <si>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</si>
  <si>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</si>
  <si>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</si>
  <si>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</si>
  <si>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</si>
  <si>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</si>
  <si>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</si>
  <si>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</si>
  <si>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</si>
  <si>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</si>
  <si>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</si>
  <si>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</si>
  <si>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</si>
  <si>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</si>
  <si>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</si>
  <si>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</si>
  <si>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</si>
  <si>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</si>
  <si>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</si>
  <si>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</si>
  <si>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</si>
  <si>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</si>
  <si>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</si>
  <si>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</si>
  <si>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</si>
  <si>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</si>
  <si>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</si>
  <si>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</si>
  <si>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</si>
  <si>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</si>
  <si>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</si>
  <si>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</si>
  <si>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</si>
  <si>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</si>
  <si>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</si>
  <si>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</si>
  <si>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</si>
  <si>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</si>
  <si>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</si>
  <si>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</si>
  <si>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</si>
  <si>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</si>
  <si>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</si>
  <si>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</si>
  <si>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</si>
  <si>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</si>
  <si>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</si>
  <si>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</si>
  <si>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</si>
  <si>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</si>
  <si>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</si>
  <si>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</si>
  <si>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</si>
  <si>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</si>
  <si>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</si>
  <si>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</si>
  <si>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</si>
  <si>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</si>
  <si>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</si>
  <si>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</si>
  <si>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</si>
  <si>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</si>
  <si>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</si>
  <si>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</si>
  <si>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</si>
  <si>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</si>
  <si>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</si>
  <si>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</si>
  <si>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</si>
  <si>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</si>
  <si>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</si>
  <si>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</si>
  <si>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</si>
  <si>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</si>
  <si>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</si>
  <si>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</si>
  <si>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</si>
  <si>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</si>
  <si>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</si>
  <si>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</si>
  <si>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</si>
  <si>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</si>
  <si>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</si>
  <si>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</si>
  <si>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</si>
  <si>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</si>
  <si>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</si>
  <si>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</si>
  <si>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</si>
  <si>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</si>
  <si>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</si>
  <si>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</si>
  <si>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</si>
  <si>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</si>
  <si>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</si>
  <si>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</si>
  <si>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</si>
  <si>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</si>
  <si>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</si>
  <si>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</si>
  <si>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</si>
  <si>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</si>
  <si>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</si>
  <si>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</si>
  <si>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</si>
  <si>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</si>
  <si>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</si>
  <si>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</si>
  <si>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</si>
  <si>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</si>
  <si>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</si>
  <si>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</si>
  <si>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</si>
  <si>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</si>
  <si>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</si>
  <si>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</si>
  <si>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</si>
  <si>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</si>
  <si>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</si>
  <si>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</si>
  <si>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</si>
  <si>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</si>
  <si>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</si>
  <si>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</si>
  <si>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</si>
  <si>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</si>
  <si>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</si>
  <si>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</si>
  <si>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</si>
  <si>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</si>
  <si>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</si>
  <si>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</si>
  <si>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</si>
  <si>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</si>
  <si>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</si>
  <si>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</si>
  <si>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</si>
  <si>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</si>
  <si>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</si>
  <si>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</si>
  <si>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</si>
  <si>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</si>
  <si>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</si>
  <si>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</si>
  <si>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</si>
  <si>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</si>
  <si>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</si>
  <si>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</si>
  <si>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</si>
  <si>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</si>
  <si>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</si>
  <si>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</si>
  <si>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</si>
  <si>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</si>
  <si>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</si>
  <si>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</si>
  <si>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</si>
  <si>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</si>
  <si>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</si>
  <si>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</si>
  <si>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</si>
  <si>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</si>
  <si>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</si>
  <si>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</si>
  <si>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</si>
  <si>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</si>
  <si>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</si>
  <si>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</si>
  <si>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</si>
  <si>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</si>
  <si>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</si>
  <si>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</si>
  <si>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</si>
  <si>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</si>
  <si>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</si>
  <si>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</si>
  <si>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</si>
  <si>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</si>
  <si>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</si>
  <si>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</si>
  <si>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</si>
  <si>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</si>
  <si>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</si>
  <si>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</si>
  <si>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</si>
  <si>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</si>
  <si>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</si>
  <si>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</si>
  <si>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</si>
  <si>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</si>
  <si>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</si>
  <si>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</si>
  <si>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</si>
  <si>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</si>
  <si>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</si>
  <si>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</si>
  <si>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</si>
  <si>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</si>
  <si>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</si>
  <si>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</si>
  <si>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</si>
  <si>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</si>
  <si>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</si>
  <si>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</si>
  <si>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</si>
  <si>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</si>
  <si>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</si>
  <si>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</si>
  <si>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</si>
  <si>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</si>
  <si>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</si>
  <si>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</si>
  <si>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</si>
  <si>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</si>
  <si>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</si>
  <si>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</si>
  <si>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</si>
  <si>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</si>
  <si>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</si>
  <si>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</si>
  <si>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</si>
  <si>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</si>
  <si>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</si>
  <si>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</si>
  <si>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</si>
  <si>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</si>
  <si>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</si>
  <si>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</si>
  <si>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</si>
  <si>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</si>
  <si>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</si>
  <si>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</si>
  <si>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</si>
  <si>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</si>
  <si>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</si>
  <si>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</si>
  <si>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</si>
  <si>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</si>
  <si>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</si>
  <si>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</si>
  <si>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</si>
  <si>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</si>
  <si>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</si>
  <si>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</si>
  <si>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</si>
  <si>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</si>
  <si>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</si>
  <si>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</si>
  <si>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</si>
  <si>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</si>
  <si>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</si>
  <si>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</si>
  <si>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</si>
  <si>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</si>
  <si>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</si>
  <si>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</si>
  <si>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</si>
  <si>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</si>
  <si>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</si>
  <si>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</si>
  <si>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</si>
  <si>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</si>
  <si>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</si>
  <si>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</si>
  <si>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</si>
  <si>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</si>
  <si>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</si>
  <si>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</si>
  <si>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</si>
  <si>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</si>
  <si>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</si>
  <si>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</si>
  <si>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</si>
  <si>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</si>
  <si>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</si>
  <si>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</si>
  <si>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</si>
  <si>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</si>
  <si>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</si>
  <si>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</si>
  <si>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</si>
  <si>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</si>
  <si>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</si>
  <si>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</si>
  <si>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</si>
  <si>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</si>
  <si>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</si>
  <si>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</si>
  <si>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</si>
  <si>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</si>
  <si>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</si>
  <si>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</si>
  <si>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</si>
  <si>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</si>
  <si>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</si>
  <si>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</si>
  <si>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</si>
  <si>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</si>
  <si>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</si>
  <si>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</si>
  <si>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</si>
  <si>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</si>
  <si>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</si>
  <si>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</si>
  <si>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</si>
  <si>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</si>
  <si>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</si>
  <si>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</si>
  <si>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</si>
  <si>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</si>
  <si>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</si>
  <si>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</si>
  <si>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</si>
  <si>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</si>
  <si>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</si>
  <si>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</si>
  <si>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</si>
  <si>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</si>
  <si>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</si>
  <si>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</si>
  <si>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</si>
  <si>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</si>
  <si>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</si>
  <si>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</si>
  <si>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</si>
  <si>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</si>
  <si>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</si>
  <si>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</si>
  <si>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</si>
  <si>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</si>
  <si>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</si>
  <si>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</si>
  <si>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</si>
  <si>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</si>
  <si>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</si>
  <si>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</si>
  <si>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</si>
  <si>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</si>
  <si>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</si>
  <si>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</si>
  <si>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</si>
  <si>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</si>
  <si>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</si>
  <si>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</si>
  <si>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</si>
  <si>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</si>
  <si>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</si>
  <si>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</si>
  <si>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</si>
  <si>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</si>
  <si>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</si>
  <si>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</si>
  <si>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</si>
  <si>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</si>
  <si>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</si>
  <si>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</si>
  <si>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</si>
  <si>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</si>
  <si>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</si>
  <si>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</si>
  <si>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</si>
  <si>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</si>
  <si>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</si>
  <si>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</si>
  <si>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</si>
  <si>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</si>
  <si>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</si>
  <si>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</si>
  <si>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</si>
  <si>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</si>
  <si>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</si>
  <si>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</si>
  <si>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</si>
  <si>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</si>
  <si>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</si>
  <si>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</si>
  <si>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</si>
  <si>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</si>
  <si>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</si>
  <si>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</si>
  <si>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</si>
  <si>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</si>
  <si>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</si>
  <si>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</si>
  <si>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</si>
  <si>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</si>
  <si>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</si>
  <si>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</si>
  <si>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</si>
  <si>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</si>
  <si>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</si>
  <si>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</si>
  <si>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</si>
  <si>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</si>
  <si>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</si>
  <si>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</si>
  <si>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</si>
  <si>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</si>
  <si>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</si>
  <si>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</si>
  <si>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</si>
  <si>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</si>
  <si>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</si>
  <si>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</si>
  <si>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</si>
  <si>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</si>
  <si>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</si>
  <si>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</si>
  <si>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</si>
  <si>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</si>
  <si>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</si>
  <si>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</si>
  <si>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</si>
  <si>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</si>
  <si>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</si>
  <si>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</si>
  <si>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</si>
  <si>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</si>
  <si>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</si>
  <si>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</si>
  <si>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</si>
  <si>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</si>
  <si>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</si>
  <si>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</si>
  <si>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</si>
  <si>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</si>
  <si>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</si>
  <si>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</si>
  <si>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</si>
  <si>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</si>
  <si>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</si>
  <si>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</si>
  <si>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</si>
  <si>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</si>
  <si>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</si>
  <si>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</si>
  <si>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</si>
  <si>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</si>
  <si>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</si>
  <si>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</si>
  <si>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</si>
  <si>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</si>
  <si>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</si>
  <si>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</si>
  <si>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</si>
  <si>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</si>
  <si>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</si>
  <si>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</si>
  <si>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</si>
  <si>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</si>
  <si>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</si>
  <si>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</si>
  <si>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</si>
  <si>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</si>
  <si>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</si>
  <si>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</si>
  <si>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</si>
  <si>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</si>
  <si>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</si>
  <si>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</si>
  <si>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</si>
  <si>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</si>
  <si>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</si>
  <si>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</si>
  <si>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</si>
  <si>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</si>
  <si>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</si>
  <si>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</si>
  <si>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</si>
  <si>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</si>
  <si>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</si>
  <si>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</si>
  <si>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</si>
  <si>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</si>
  <si>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</si>
  <si>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</si>
  <si>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</si>
  <si>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</si>
  <si>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</si>
  <si>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</si>
  <si>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</si>
  <si>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</si>
  <si>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</si>
  <si>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</si>
  <si>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</si>
  <si>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</si>
  <si>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</si>
  <si>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</si>
  <si>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</si>
  <si>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</si>
  <si>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</si>
  <si>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</si>
  <si>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</si>
  <si>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</si>
  <si>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</si>
  <si>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</si>
  <si>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</si>
  <si>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</si>
  <si>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</si>
  <si>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</si>
  <si>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</si>
  <si>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</si>
  <si>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</si>
  <si>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</si>
  <si>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</si>
  <si>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</si>
  <si>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</si>
  <si>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</si>
  <si>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</si>
  <si>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</si>
  <si>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</si>
  <si>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</si>
  <si>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</si>
  <si>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</si>
  <si>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</si>
  <si>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</si>
  <si>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</si>
  <si>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</si>
  <si>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</si>
  <si>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</si>
  <si>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</si>
  <si>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</si>
  <si>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</si>
  <si>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</si>
  <si>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</si>
  <si>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</si>
  <si>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</si>
  <si>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</si>
  <si>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</si>
  <si>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</si>
  <si>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</si>
  <si>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</si>
  <si>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</si>
  <si>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</si>
  <si>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</si>
  <si>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</si>
  <si>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</si>
  <si>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</si>
  <si>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</si>
  <si>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</si>
  <si>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</si>
  <si>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</si>
  <si>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</si>
  <si>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</si>
  <si>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</si>
  <si>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</si>
  <si>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</si>
  <si>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</si>
  <si>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</si>
  <si>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</si>
  <si>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</si>
  <si>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</si>
  <si>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</si>
  <si>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</si>
  <si>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</si>
  <si>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</si>
  <si>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</si>
  <si>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</si>
  <si>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</si>
  <si>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</si>
  <si>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</si>
  <si>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</si>
  <si>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</si>
  <si>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</si>
  <si>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</si>
  <si>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</si>
  <si>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</si>
  <si>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</si>
  <si>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</si>
  <si>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</si>
  <si>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</si>
  <si>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</si>
  <si>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</si>
  <si>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</si>
  <si>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</si>
  <si>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</si>
  <si>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</si>
  <si>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</si>
  <si>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</si>
  <si>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</si>
  <si>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</si>
  <si>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</si>
  <si>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</si>
  <si>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</si>
  <si>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</si>
  <si>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</si>
  <si>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</si>
  <si>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</si>
  <si>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</si>
  <si>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</si>
  <si>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</si>
  <si>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</si>
  <si>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</si>
  <si>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</si>
  <si>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</si>
  <si>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</si>
  <si>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</si>
  <si>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</si>
  <si>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</si>
  <si>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</si>
  <si>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</si>
  <si>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</si>
  <si>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</si>
  <si>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</si>
  <si>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</si>
  <si>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</si>
  <si>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</si>
  <si>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</si>
  <si>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</si>
  <si>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</si>
  <si>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</si>
  <si>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</si>
  <si>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</si>
  <si>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</si>
  <si>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</si>
  <si>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</si>
  <si>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</si>
  <si>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</si>
  <si>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</si>
  <si>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</si>
  <si>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</si>
  <si>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</si>
  <si>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</si>
  <si>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</si>
  <si>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</si>
  <si>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</si>
  <si>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</si>
  <si>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</si>
  <si>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</si>
  <si>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</si>
  <si>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</si>
  <si>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</si>
  <si>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</si>
  <si>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</si>
  <si>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</si>
  <si>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</si>
  <si>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</si>
  <si>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</si>
  <si>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</si>
  <si>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</si>
  <si>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</si>
  <si>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</si>
  <si>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</si>
  <si>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</si>
  <si>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</si>
  <si>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</si>
  <si>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</si>
  <si>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</si>
  <si>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</si>
  <si>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</si>
  <si>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</si>
  <si>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</si>
  <si>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</si>
  <si>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</si>
  <si>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</si>
  <si>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</si>
  <si>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</si>
  <si>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</si>
  <si>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</si>
  <si>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</si>
  <si>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</si>
  <si>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</si>
  <si>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</si>
  <si>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</si>
  <si>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</si>
  <si>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</si>
  <si>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</si>
  <si>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</si>
  <si>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</si>
  <si>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</si>
  <si>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</si>
  <si>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</si>
  <si>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</si>
  <si>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</si>
  <si>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</si>
  <si>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</si>
  <si>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</si>
  <si>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</si>
  <si>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</si>
  <si>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</si>
  <si>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</si>
  <si>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</si>
  <si>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</si>
  <si>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</si>
  <si>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</si>
  <si>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</si>
  <si>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</si>
  <si>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</si>
  <si>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</si>
  <si>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</si>
  <si>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</si>
  <si>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</si>
  <si>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</si>
  <si>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</si>
  <si>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</si>
  <si>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</si>
  <si>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</si>
  <si>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</si>
  <si>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</si>
  <si>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</si>
  <si>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</si>
  <si>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</si>
  <si>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</si>
  <si>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</si>
  <si>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</si>
  <si>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</si>
  <si>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</si>
  <si>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</si>
  <si>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</si>
  <si>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</si>
  <si>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</si>
  <si>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</si>
  <si>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</si>
  <si>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</si>
  <si>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</si>
  <si>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</si>
  <si>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</si>
  <si>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</si>
  <si>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</si>
  <si>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</si>
  <si>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</si>
  <si>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</si>
  <si>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</si>
  <si>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</si>
  <si>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</si>
  <si>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</si>
  <si>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</si>
  <si>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</si>
  <si>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</si>
  <si>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</si>
  <si>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</si>
  <si>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</si>
  <si>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</si>
  <si>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</si>
  <si>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</si>
  <si>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</si>
  <si>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</si>
  <si>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</si>
  <si>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</si>
  <si>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</si>
  <si>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</si>
  <si>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</si>
  <si>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</si>
  <si>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</si>
  <si>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</si>
  <si>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</si>
  <si>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</si>
  <si>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</si>
  <si>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</si>
  <si>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</si>
  <si>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</si>
  <si>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</si>
  <si>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</si>
  <si>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</si>
  <si>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</si>
  <si>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</si>
  <si>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</si>
  <si>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</si>
  <si>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</si>
  <si>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</si>
  <si>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</si>
  <si>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</si>
  <si>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</si>
  <si>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</si>
  <si>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</si>
  <si>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</si>
  <si>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</si>
  <si>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</si>
  <si>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</si>
  <si>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</si>
  <si>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</si>
  <si>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</si>
  <si>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</si>
  <si>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</si>
  <si>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</si>
  <si>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</si>
  <si>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</si>
  <si>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</si>
  <si>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</si>
  <si>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</si>
  <si>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</si>
  <si>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</si>
  <si>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</si>
  <si>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</si>
  <si>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</si>
  <si>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</si>
  <si>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</si>
  <si>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</si>
  <si>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</si>
  <si>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</si>
  <si>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</si>
  <si>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</si>
  <si>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</si>
  <si>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</si>
  <si>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</si>
  <si>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</si>
  <si>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</si>
  <si>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</si>
  <si>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</si>
  <si>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</si>
  <si>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</si>
  <si>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</si>
  <si>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</si>
  <si>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</si>
  <si>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</si>
  <si>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</si>
  <si>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</si>
  <si>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</si>
  <si>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</si>
  <si>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</si>
  <si>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</si>
  <si>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</si>
  <si>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</si>
  <si>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</si>
  <si>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</si>
  <si>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</si>
  <si>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</si>
  <si>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</si>
  <si>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</si>
  <si>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</si>
  <si>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</si>
  <si>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</si>
  <si>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</si>
  <si>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</si>
  <si>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</si>
  <si>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</si>
  <si>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</si>
  <si>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</si>
  <si>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</si>
  <si>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</si>
  <si>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</si>
  <si>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</si>
  <si>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</si>
  <si>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</si>
  <si>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</si>
  <si>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</si>
  <si>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</si>
  <si>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</si>
  <si>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</si>
  <si>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</si>
  <si>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</si>
  <si>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</si>
  <si>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</si>
  <si>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</si>
  <si>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</si>
  <si>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</si>
  <si>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</si>
  <si>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</si>
  <si>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</si>
  <si>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</si>
  <si>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</si>
  <si>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</si>
  <si>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</si>
  <si>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</si>
  <si>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</si>
  <si>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</si>
  <si>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</si>
  <si>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</si>
  <si>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</si>
  <si>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</si>
  <si>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</si>
  <si>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</si>
  <si>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</si>
  <si>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</si>
  <si>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</si>
  <si>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</si>
  <si>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</si>
  <si>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</si>
  <si>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</si>
  <si>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</si>
  <si>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</si>
  <si>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</si>
  <si>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</si>
  <si>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</si>
  <si>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</si>
  <si>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</si>
  <si>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</si>
  <si>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</si>
  <si>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</si>
  <si>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</si>
  <si>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</si>
  <si>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</si>
  <si>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</si>
  <si>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</si>
  <si>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</si>
  <si>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</si>
  <si>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</si>
  <si>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</si>
  <si>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</si>
  <si>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</si>
  <si>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</si>
  <si>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</si>
  <si>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</si>
  <si>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</si>
  <si>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</si>
  <si>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</si>
  <si>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</si>
  <si>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</si>
  <si>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</si>
  <si>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</si>
  <si>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</si>
  <si>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</si>
  <si>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</si>
  <si>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</si>
  <si>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</si>
  <si>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</si>
  <si>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</si>
  <si>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</si>
  <si>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</si>
  <si>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</si>
  <si>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</si>
  <si>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</si>
  <si>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</si>
  <si>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</si>
  <si>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</si>
  <si>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</si>
  <si>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</si>
  <si>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</si>
  <si>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</si>
  <si>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</si>
  <si>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</si>
  <si>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</si>
  <si>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</si>
  <si>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</si>
  <si>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</si>
  <si>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</si>
  <si>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</si>
  <si>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</si>
  <si>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</si>
  <si>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</si>
  <si>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</si>
  <si>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</si>
  <si>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</si>
  <si>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</si>
  <si>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</si>
  <si>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</si>
  <si>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</si>
  <si>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</si>
  <si>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</si>
  <si>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</si>
  <si>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</si>
  <si>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</si>
  <si>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</si>
  <si>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</si>
  <si>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</si>
  <si>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</si>
  <si>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</si>
  <si>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</si>
  <si>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</si>
  <si>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</si>
  <si>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</si>
  <si>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</si>
  <si>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</si>
  <si>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</si>
  <si>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</si>
  <si>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</si>
  <si>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</si>
  <si>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</si>
  <si>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</si>
  <si>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</si>
  <si>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</si>
  <si>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</si>
  <si>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</si>
  <si>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</si>
  <si>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</si>
  <si>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</si>
  <si>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</si>
  <si>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</si>
  <si>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</si>
  <si>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</si>
  <si>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</si>
  <si>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</si>
  <si>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</si>
  <si>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</si>
  <si>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</si>
  <si>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</si>
  <si>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</si>
  <si>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</si>
  <si>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</si>
  <si>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</si>
  <si>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</si>
  <si>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</si>
  <si>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</si>
  <si>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</si>
  <si>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</si>
  <si>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</si>
  <si>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</si>
  <si>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</si>
  <si>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</si>
  <si>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</si>
  <si>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</si>
  <si>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</si>
  <si>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</si>
  <si>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</si>
  <si>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</si>
  <si>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</si>
  <si>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</si>
  <si>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</si>
  <si>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</si>
  <si>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</si>
  <si>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</si>
  <si>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</si>
  <si>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</si>
  <si>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</si>
  <si>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</si>
  <si>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</si>
  <si>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</si>
  <si>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</si>
  <si>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</si>
  <si>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</si>
  <si>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</si>
  <si>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</si>
  <si>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</si>
  <si>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</si>
  <si>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</si>
  <si>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</si>
  <si>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</si>
  <si>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</si>
  <si>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</si>
  <si>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</si>
  <si>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</si>
  <si>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</si>
  <si>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</si>
  <si>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</si>
  <si>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</si>
  <si>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</si>
  <si>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</si>
  <si>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</si>
  <si>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</si>
  <si>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</si>
  <si>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</si>
  <si>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</si>
  <si>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</si>
  <si>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</si>
  <si>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</si>
  <si>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</si>
  <si>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</si>
  <si>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</si>
  <si>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</si>
  <si>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</si>
  <si>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</si>
  <si>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</si>
  <si>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</si>
  <si>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</si>
  <si>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</si>
  <si>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</si>
  <si>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</si>
  <si>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</si>
  <si>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</si>
  <si>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</si>
  <si>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</si>
  <si>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</si>
  <si>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</si>
  <si>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</si>
  <si>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</si>
  <si>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</si>
  <si>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</si>
  <si>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</si>
  <si>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</si>
  <si>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</si>
  <si>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</si>
  <si>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</si>
  <si>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</si>
  <si>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</si>
  <si>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</si>
  <si>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</si>
  <si>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</si>
  <si>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</si>
  <si>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</si>
  <si>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</si>
  <si>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</si>
  <si>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</si>
  <si>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</si>
  <si>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</si>
  <si>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</si>
  <si>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</si>
  <si>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</si>
  <si>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</si>
  <si>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</si>
  <si>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</si>
  <si>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</si>
  <si>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</si>
  <si>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</si>
  <si>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</si>
  <si>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</si>
  <si>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</si>
  <si>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</si>
  <si>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</si>
  <si>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</si>
  <si>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</si>
  <si>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</si>
  <si>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</si>
  <si>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</si>
  <si>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</si>
  <si>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</si>
  <si>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</si>
  <si>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</si>
  <si>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</si>
  <si>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</si>
  <si>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</si>
  <si>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</si>
  <si>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</si>
  <si>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</si>
  <si>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</si>
  <si>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</si>
  <si>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</si>
  <si>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</si>
  <si>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</si>
  <si>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</si>
  <si>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</si>
  <si>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</si>
  <si>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</si>
  <si>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</si>
  <si>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</si>
  <si>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</si>
  <si>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</si>
  <si>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</si>
  <si>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</si>
  <si>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</si>
  <si>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</si>
  <si>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</si>
  <si>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</si>
  <si>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</si>
  <si>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</si>
  <si>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</si>
  <si>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</si>
  <si>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</si>
  <si>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</si>
  <si>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</si>
  <si>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</si>
  <si>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</si>
  <si>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</si>
  <si>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</si>
  <si>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</si>
  <si>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</si>
  <si>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</si>
  <si>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</si>
  <si>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</si>
  <si>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</si>
  <si>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</si>
  <si>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</si>
  <si>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</si>
  <si>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</si>
  <si>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</si>
  <si>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</si>
  <si>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</si>
  <si>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</si>
  <si>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</si>
  <si>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</si>
  <si>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</si>
  <si>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</si>
  <si>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</si>
  <si>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</si>
  <si>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</si>
  <si>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</si>
  <si>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</si>
  <si>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</si>
  <si>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</si>
  <si>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</si>
  <si>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</si>
  <si>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</si>
  <si>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</si>
  <si>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</si>
  <si>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</si>
  <si>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</si>
  <si>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</si>
  <si>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</si>
  <si>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</si>
  <si>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</si>
  <si>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</si>
  <si>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</si>
  <si>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</si>
  <si>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</si>
  <si>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</si>
  <si>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</si>
  <si>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</si>
  <si>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</si>
  <si>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</si>
  <si>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</si>
  <si>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</si>
  <si>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</si>
  <si>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</si>
  <si>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</si>
  <si>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</si>
  <si>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</si>
  <si>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</si>
  <si>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</si>
  <si>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</si>
  <si>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</si>
  <si>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</si>
  <si>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</si>
  <si>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</si>
  <si>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</si>
  <si>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</si>
  <si>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</si>
  <si>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</si>
  <si>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</si>
  <si>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</si>
  <si>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</si>
  <si>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</si>
  <si>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</si>
  <si>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</si>
  <si>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</si>
  <si>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</si>
  <si>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</si>
  <si>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</si>
  <si>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</si>
  <si>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</si>
  <si>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</si>
  <si>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</si>
  <si>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</si>
  <si>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</si>
  <si>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</si>
  <si>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</si>
  <si>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</si>
  <si>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</si>
  <si>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</si>
  <si>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</si>
  <si>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</si>
  <si>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</si>
  <si>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</si>
  <si>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</si>
  <si>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</si>
  <si>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</si>
  <si>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</si>
  <si>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</si>
  <si>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</si>
  <si>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</si>
  <si>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</si>
  <si>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</si>
  <si>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</si>
  <si>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</si>
  <si>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</si>
  <si>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</si>
  <si>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</si>
  <si>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</si>
  <si>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</si>
  <si>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</si>
  <si>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</si>
  <si>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</si>
  <si>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</si>
  <si>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</si>
  <si>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</si>
  <si>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</si>
  <si>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</si>
  <si>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</si>
  <si>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</si>
  <si>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</si>
  <si>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</si>
  <si>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</si>
  <si>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</si>
  <si>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</si>
  <si>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</si>
  <si>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</si>
  <si>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</si>
  <si>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</si>
  <si>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</si>
  <si>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</si>
  <si>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</si>
  <si>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</si>
  <si>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</si>
  <si>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</si>
  <si>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</si>
  <si>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</si>
  <si>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</si>
  <si>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</si>
  <si>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</si>
  <si>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</si>
  <si>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</si>
  <si>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</si>
  <si>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</si>
  <si>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</si>
  <si>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</si>
  <si>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</si>
  <si>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</si>
  <si>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</si>
  <si>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</si>
  <si>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</si>
  <si>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</si>
  <si>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</si>
  <si>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</si>
  <si>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</si>
  <si>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</si>
  <si>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</si>
  <si>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</si>
  <si>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</si>
  <si>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</si>
  <si>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</si>
  <si>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</si>
  <si>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</si>
  <si>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</si>
  <si>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</si>
  <si>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</si>
  <si>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</si>
  <si>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</si>
  <si>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</si>
  <si>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</si>
  <si>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</si>
  <si>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</si>
  <si>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</si>
  <si>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</si>
  <si>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LASALLE</t>
  </si>
  <si>
    <t>297 N 33RD ROAD</t>
  </si>
  <si>
    <t>RLINNING@DIMMICK175.COM</t>
  </si>
  <si>
    <t>RYAN LINNING</t>
  </si>
  <si>
    <t>815-223-2933</t>
  </si>
  <si>
    <t>815-223-0169</t>
  </si>
  <si>
    <t>HOPKINS &amp; ASSOCIATES, CPAS</t>
  </si>
  <si>
    <t>JOEL HOPKINS</t>
  </si>
  <si>
    <t>314 S MCCOY STREET</t>
  </si>
  <si>
    <t>GRANVILLE</t>
  </si>
  <si>
    <t>IL</t>
  </si>
  <si>
    <t>815-339-6630</t>
  </si>
  <si>
    <t>815-339-6643</t>
  </si>
  <si>
    <t>066-004501</t>
  </si>
  <si>
    <t>JOEL@HOPKINSOFFICE.COM</t>
  </si>
  <si>
    <t>X</t>
  </si>
  <si>
    <t>ISSUE 1</t>
  </si>
  <si>
    <t>ISSUE 2</t>
  </si>
  <si>
    <t>ISSUE 3</t>
  </si>
  <si>
    <t>LASALLE PUTNAM CO SPECIAL ED COOP, OTTAWA, IL 61350</t>
  </si>
  <si>
    <t>Roz's Snow Removal</t>
  </si>
  <si>
    <t>O&amp;M - O&amp;M Plant Services  - Purchased Services</t>
  </si>
  <si>
    <t>10-1999 Miscellaneous Income $4,233</t>
  </si>
  <si>
    <t>10-2190-300 OT/PT $7,739</t>
  </si>
  <si>
    <t>10-3999 Other State Grant $3,842</t>
  </si>
  <si>
    <t>10-7990 Loan Proceeds $29,404</t>
  </si>
  <si>
    <t>10-8990 Principal Payment $19,904</t>
  </si>
  <si>
    <t>20-1999 Miscellaneous Income $12,750</t>
  </si>
  <si>
    <t>20-8990 Transfer To Debt Service $362,081</t>
  </si>
  <si>
    <t>30-5400-600 Bank Fees $2,000</t>
  </si>
  <si>
    <t>30-7990 Transfer from O&amp;M $362,081</t>
  </si>
  <si>
    <t xml:space="preserve"> Dimmick CCSD 17.5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</si>
</sst>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7"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35050017504</v>
      </c>
      <c r="B13" s="2101"/>
      <c r="C13" s="2101"/>
      <c r="D13" s="2101"/>
      <c r="E13" s="2101"/>
      <c r="F13" s="2101"/>
      <c r="G13" s="2101"/>
      <c r="H13" s="2102"/>
      <c r="I13" s="31"/>
      <c r="J13" s="30"/>
      <c r="K13" s="28"/>
      <c r="L13" s="30"/>
      <c r="M13" s="30"/>
      <c r="N13" s="30"/>
      <c r="O13" s="30"/>
      <c r="P13" s="30"/>
      <c r="Q13" s="30"/>
      <c r="R13" s="30"/>
      <c r="S13" s="30"/>
      <c r="T13" s="2106" t="s">
        <v>2058</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2059</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2083</v>
      </c>
      <c r="B17" s="2074"/>
      <c r="C17" s="2074"/>
      <c r="D17" s="2074"/>
      <c r="E17" s="2074"/>
      <c r="F17" s="2074"/>
      <c r="G17" s="2074"/>
      <c r="H17" s="2099"/>
      <c r="T17" s="2117" t="s">
        <v>2060</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2061</v>
      </c>
      <c r="U19" s="2038"/>
      <c r="V19" s="2038"/>
      <c r="W19" s="2039"/>
      <c r="X19" s="2115" t="s">
        <v>2062</v>
      </c>
      <c r="Y19" s="2116"/>
      <c r="Z19" s="2113">
        <v>61326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2052</v>
      </c>
      <c r="B21" s="2038"/>
      <c r="C21" s="2038"/>
      <c r="D21" s="2038"/>
      <c r="E21" s="2038"/>
      <c r="F21" s="2038"/>
      <c r="G21" s="2038"/>
      <c r="H21" s="2039"/>
      <c r="I21" s="2093" t="s">
        <v>673</v>
      </c>
      <c r="J21" s="2088"/>
      <c r="K21" s="2088"/>
      <c r="L21" s="2088"/>
      <c r="M21" s="2088"/>
      <c r="N21" s="2088"/>
      <c r="O21" s="2088"/>
      <c r="P21" s="2088"/>
      <c r="Q21" s="2088"/>
      <c r="R21" s="2088"/>
      <c r="S21" s="2094"/>
      <c r="T21" s="2128" t="s">
        <v>2063</v>
      </c>
      <c r="U21" s="2129"/>
      <c r="V21" s="2129"/>
      <c r="W21" s="2129"/>
      <c r="X21" s="2134" t="s">
        <v>2064</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2054</v>
      </c>
      <c r="B23" s="2091"/>
      <c r="C23" s="2091"/>
      <c r="D23" s="2091"/>
      <c r="E23" s="2091"/>
      <c r="F23" s="2091"/>
      <c r="G23" s="2091"/>
      <c r="H23" s="2092"/>
      <c r="T23" s="2073" t="s">
        <v>2065</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61301</v>
      </c>
      <c r="B25" s="2038"/>
      <c r="C25" s="2038"/>
      <c r="D25" s="2038"/>
      <c r="E25" s="2038"/>
      <c r="F25" s="2038"/>
      <c r="G25" s="2038"/>
      <c r="H25" s="2039"/>
      <c r="I25" s="110"/>
      <c r="J25" s="2062"/>
      <c r="K25" s="2062"/>
      <c r="L25" s="2062"/>
      <c r="M25" s="2062"/>
      <c r="N25" s="2062"/>
      <c r="O25" s="2062"/>
      <c r="P25" s="2062"/>
      <c r="Q25" s="2062"/>
      <c r="R25" s="2062"/>
      <c r="S25" s="2063"/>
      <c r="T25" s="2124" t="s">
        <v>2066</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2055</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2054</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2056</v>
      </c>
      <c r="B42" s="2057"/>
      <c r="C42" s="2058"/>
      <c r="D42" s="2056" t="s">
        <v>2057</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B1"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1084216</v>
      </c>
      <c r="C4" s="1722"/>
      <c r="D4" s="1723">
        <f>B4-C4</f>
        <v>1084216</v>
      </c>
      <c r="E4" s="1722">
        <v>1170174</v>
      </c>
      <c r="F4" s="1723">
        <f>E4-C4</f>
        <v>1170174</v>
      </c>
    </row>
    <row r="5" spans="1:8" ht="13.7" customHeight="1" x14ac:dyDescent="0.2">
      <c r="A5" s="579" t="s">
        <v>865</v>
      </c>
      <c r="B5" s="1724">
        <f>'Revenues 9-14'!D5</f>
        <v>294624</v>
      </c>
      <c r="C5" s="1664"/>
      <c r="D5" s="1725">
        <f t="shared" ref="D5:D18" si="0">B5-C5</f>
        <v>294624</v>
      </c>
      <c r="E5" s="1664">
        <v>317982</v>
      </c>
      <c r="F5" s="1725">
        <f>E5-C5</f>
        <v>317982</v>
      </c>
    </row>
    <row r="6" spans="1:8" ht="13.7" customHeight="1" x14ac:dyDescent="0.2">
      <c r="A6" s="579" t="s">
        <v>408</v>
      </c>
      <c r="B6" s="1724">
        <f>'Revenues 9-14'!E5</f>
        <v>60890</v>
      </c>
      <c r="C6" s="1664"/>
      <c r="D6" s="1725">
        <f t="shared" si="0"/>
        <v>60890</v>
      </c>
      <c r="E6" s="1664">
        <v>59959</v>
      </c>
      <c r="F6" s="1725">
        <f t="shared" ref="F6:F18" si="1">E6-C6</f>
        <v>59959</v>
      </c>
    </row>
    <row r="7" spans="1:8" ht="13.7" customHeight="1" x14ac:dyDescent="0.2">
      <c r="A7" s="579" t="s">
        <v>154</v>
      </c>
      <c r="B7" s="1724">
        <f>'Revenues 9-14'!F5</f>
        <v>141419</v>
      </c>
      <c r="C7" s="1664"/>
      <c r="D7" s="1725">
        <f t="shared" si="0"/>
        <v>141419</v>
      </c>
      <c r="E7" s="1664">
        <v>152631</v>
      </c>
      <c r="F7" s="1725">
        <f t="shared" si="1"/>
        <v>152631</v>
      </c>
    </row>
    <row r="8" spans="1:8" ht="13.7" customHeight="1" x14ac:dyDescent="0.2">
      <c r="A8" s="579" t="s">
        <v>1169</v>
      </c>
      <c r="B8" s="1724">
        <f>'Revenues 9-14'!G5</f>
        <v>19966</v>
      </c>
      <c r="C8" s="1664"/>
      <c r="D8" s="1725">
        <f t="shared" si="0"/>
        <v>19966</v>
      </c>
      <c r="E8" s="1664">
        <v>0</v>
      </c>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58925</v>
      </c>
      <c r="C10" s="1664"/>
      <c r="D10" s="1725">
        <f t="shared" si="0"/>
        <v>58925</v>
      </c>
      <c r="E10" s="1664">
        <v>63596</v>
      </c>
      <c r="F10" s="1725">
        <f t="shared" si="1"/>
        <v>63596</v>
      </c>
    </row>
    <row r="11" spans="1:8" x14ac:dyDescent="0.2">
      <c r="A11" s="579" t="s">
        <v>406</v>
      </c>
      <c r="B11" s="1724">
        <f>'Revenues 9-14'!J5</f>
        <v>89825</v>
      </c>
      <c r="C11" s="1664"/>
      <c r="D11" s="1725">
        <f t="shared" si="0"/>
        <v>89825</v>
      </c>
      <c r="E11" s="1664">
        <v>80004</v>
      </c>
      <c r="F11" s="1725">
        <f t="shared" si="1"/>
        <v>80004</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19966</v>
      </c>
      <c r="C13" s="1664"/>
      <c r="D13" s="1725">
        <f t="shared" si="0"/>
        <v>19966</v>
      </c>
      <c r="E13" s="1664">
        <v>10010</v>
      </c>
      <c r="F13" s="1725">
        <f t="shared" si="1"/>
        <v>10010</v>
      </c>
    </row>
    <row r="14" spans="1:8" ht="13.7" customHeight="1" x14ac:dyDescent="0.2">
      <c r="A14" s="579" t="s">
        <v>407</v>
      </c>
      <c r="B14" s="1724">
        <f>SUM('Revenues 9-14'!C7:D7,'Revenues 9-14'!F7:H7)</f>
        <v>23570</v>
      </c>
      <c r="C14" s="1664"/>
      <c r="D14" s="1725">
        <f t="shared" si="0"/>
        <v>23570</v>
      </c>
      <c r="E14" s="1664">
        <v>25439</v>
      </c>
      <c r="F14" s="1725">
        <f t="shared" si="1"/>
        <v>25439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19966</v>
      </c>
      <c r="C16" s="1664"/>
      <c r="D16" s="1725">
        <f t="shared" si="0"/>
        <v>19966</v>
      </c>
      <c r="E16" s="1664">
        <v>32511</v>
      </c>
      <c r="F16" s="1725">
        <f t="shared" si="1"/>
        <v>32511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1813367</v>
      </c>
      <c r="C19" s="1726">
        <f>SUM(C4:C18)</f>
        <v>0</v>
      </c>
      <c r="D19" s="1726">
        <f>SUM(D4:D18)</f>
        <v>1813367</v>
      </c>
      <c r="E19" s="1726">
        <f>SUM(E4:E18)</f>
        <v>1912306</v>
      </c>
      <c r="F19" s="1726">
        <f>SUM(F4:F18)</f>
        <v>1912306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40603</v>
      </c>
      <c r="C31" s="1734">
        <v>1610000</v>
      </c>
      <c r="D31" s="1735">
        <v>6</v>
      </c>
      <c r="E31" s="1734">
        <v>615000</v>
      </c>
      <c r="F31" s="1734"/>
      <c r="G31" s="1734"/>
      <c r="H31" s="1734">
        <v>205000</v>
      </c>
      <c r="I31" s="1736">
        <f>((E31+F31)-H31)+G31</f>
        <v>410000</v>
      </c>
      <c r="J31" s="1734">
        <v>410000</v>
      </c>
      <c r="K31" s="596"/>
    </row>
    <row r="32" spans="1:11" ht="12" customHeight="1" x14ac:dyDescent="0.2">
      <c r="A32" s="594" t="s">
        <v>2069</v>
      </c>
      <c r="B32" s="595">
        <v>40603</v>
      </c>
      <c r="C32" s="1734">
        <v>1045000</v>
      </c>
      <c r="D32" s="1735">
        <v>6</v>
      </c>
      <c r="E32" s="1734">
        <v>325000</v>
      </c>
      <c r="F32" s="1734"/>
      <c r="G32" s="1734"/>
      <c r="H32" s="1734">
        <v>115000</v>
      </c>
      <c r="I32" s="1736">
        <f>((E32+F32)-H32)+G32</f>
        <v>210000</v>
      </c>
      <c r="J32" s="1734">
        <v>210000</v>
      </c>
      <c r="K32" s="596"/>
    </row>
    <row r="33" spans="1:11" ht="12" customHeight="1" x14ac:dyDescent="0.2">
      <c r="A33" s="594" t="s">
        <v>2070</v>
      </c>
      <c r="B33" s="595">
        <v>43053</v>
      </c>
      <c r="C33" s="1734">
        <v>1100000</v>
      </c>
      <c r="D33" s="1735">
        <v>6</v>
      </c>
      <c r="E33" s="1734">
        <v>1065000</v>
      </c>
      <c r="F33" s="1734"/>
      <c r="G33" s="1734"/>
      <c r="H33" s="1734">
        <v>35000</v>
      </c>
      <c r="I33" s="1736">
        <f t="shared" ref="I33:I48" si="1">((E33+F33)-H33)+G33</f>
        <v>1030000</v>
      </c>
      <c r="J33" s="1734">
        <v>782421</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3755000</v>
      </c>
      <c r="D49" s="1742"/>
      <c r="E49" s="1736">
        <f t="shared" ref="E49:J49" si="2">SUM(E31:E48)</f>
        <v>2005000</v>
      </c>
      <c r="F49" s="1736">
        <f t="shared" si="2"/>
        <v>0</v>
      </c>
      <c r="G49" s="1736">
        <f t="shared" si="2"/>
        <v>0</v>
      </c>
      <c r="H49" s="1736">
        <f t="shared" si="2"/>
        <v>355000</v>
      </c>
      <c r="I49" s="1736">
        <f t="shared" si="2"/>
        <v>1650000</v>
      </c>
      <c r="J49" s="1736">
        <f t="shared" si="2"/>
        <v>1402421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A15" sqref="A15:E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23570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23570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23570</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23570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6" sqref="D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115450</v>
      </c>
      <c r="D5" s="1770">
        <v>5000</v>
      </c>
      <c r="E5" s="1770"/>
      <c r="F5" s="1765">
        <f>(C5+D5)-E5</f>
        <v>120450</v>
      </c>
      <c r="G5" s="676"/>
      <c r="H5" s="680"/>
      <c r="I5" s="680"/>
      <c r="J5" s="680"/>
      <c r="K5" s="637"/>
      <c r="L5" s="1442">
        <f>F5-K5</f>
        <v>120450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7206611</v>
      </c>
      <c r="D8" s="1771"/>
      <c r="E8" s="1771"/>
      <c r="F8" s="1765">
        <f>(C8+D8)-E8</f>
        <v>7206611</v>
      </c>
      <c r="G8" s="681">
        <v>50</v>
      </c>
      <c r="H8" s="619">
        <v>1869210</v>
      </c>
      <c r="I8" s="619">
        <v>149221</v>
      </c>
      <c r="J8" s="619"/>
      <c r="K8" s="1442">
        <f>(H8+I8)-J8</f>
        <v>2018431</v>
      </c>
      <c r="L8" s="1442">
        <f>F8-K8</f>
        <v>5188180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317889</v>
      </c>
      <c r="D10" s="1772">
        <v>16335</v>
      </c>
      <c r="E10" s="1772"/>
      <c r="F10" s="1773">
        <f>(C10+D10)-E10</f>
        <v>334224</v>
      </c>
      <c r="G10" s="681">
        <v>20</v>
      </c>
      <c r="H10" s="683">
        <v>201717</v>
      </c>
      <c r="I10" s="683">
        <v>9265</v>
      </c>
      <c r="J10" s="683"/>
      <c r="K10" s="1442">
        <f>(H10+I10)-J10</f>
        <v>210982</v>
      </c>
      <c r="L10" s="1442">
        <f>F10-K10</f>
        <v>123242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626870</v>
      </c>
      <c r="D12" s="1771">
        <v>2000</v>
      </c>
      <c r="E12" s="1771"/>
      <c r="F12" s="1765">
        <f>(C12+D12)-E12</f>
        <v>628870</v>
      </c>
      <c r="G12" s="681">
        <v>10</v>
      </c>
      <c r="H12" s="619">
        <v>583564</v>
      </c>
      <c r="I12" s="619">
        <v>10758</v>
      </c>
      <c r="J12" s="619"/>
      <c r="K12" s="1442">
        <f>(H12+I12)-J12</f>
        <v>594322</v>
      </c>
      <c r="L12" s="1442">
        <f>F12-K12</f>
        <v>34548</v>
      </c>
    </row>
    <row r="13" spans="1:14" ht="14.25" thickTop="1" thickBot="1" x14ac:dyDescent="0.25">
      <c r="A13" s="684" t="s">
        <v>1112</v>
      </c>
      <c r="B13" s="679">
        <v>252</v>
      </c>
      <c r="C13" s="1771">
        <v>63010</v>
      </c>
      <c r="D13" s="1771"/>
      <c r="E13" s="1771"/>
      <c r="F13" s="1765">
        <f>(C13+D13)-E13</f>
        <v>63010</v>
      </c>
      <c r="G13" s="681">
        <v>5</v>
      </c>
      <c r="H13" s="619">
        <v>51086</v>
      </c>
      <c r="I13" s="619">
        <v>2626</v>
      </c>
      <c r="J13" s="619"/>
      <c r="K13" s="1442">
        <f>(H13+I13)-J13</f>
        <v>53712</v>
      </c>
      <c r="L13" s="1442">
        <f>F13-K13</f>
        <v>9298</v>
      </c>
    </row>
    <row r="14" spans="1:14" ht="14.25" thickTop="1" thickBot="1" x14ac:dyDescent="0.25">
      <c r="A14" s="684" t="s">
        <v>1113</v>
      </c>
      <c r="B14" s="679">
        <v>253</v>
      </c>
      <c r="C14" s="1745">
        <v>1228</v>
      </c>
      <c r="D14" s="1745"/>
      <c r="E14" s="1745"/>
      <c r="F14" s="1765">
        <f>(C14+D14)-E14</f>
        <v>1228</v>
      </c>
      <c r="G14" s="681">
        <v>3</v>
      </c>
      <c r="H14" s="619">
        <v>1228</v>
      </c>
      <c r="I14" s="619"/>
      <c r="J14" s="619"/>
      <c r="K14" s="1442">
        <f>(H14+I14)-J14</f>
        <v>1228</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8331058</v>
      </c>
      <c r="D16" s="1765">
        <f>SUM(D3,D5:D6,D8:D10,D12:D15)</f>
        <v>23335</v>
      </c>
      <c r="E16" s="1765">
        <f>SUM(E3,E5:E6,E8:E10,E12:E15)</f>
        <v>0</v>
      </c>
      <c r="F16" s="1765">
        <f>SUM(F3,F5:F6,F8:F10,F12:F15)</f>
        <v>8354393</v>
      </c>
      <c r="G16" s="681"/>
      <c r="H16" s="1435">
        <f>SUM(H3,H6,H8:H10,H12:H14,)</f>
        <v>2706805</v>
      </c>
      <c r="I16" s="1435">
        <f>SUM(I3,I6,I8:I10,I12:I14,)</f>
        <v>171870</v>
      </c>
      <c r="J16" s="1435">
        <f>SUM(J3,J6,J8:J10,J12:J14,)</f>
        <v>0</v>
      </c>
      <c r="K16" s="1435">
        <f>(H16+I16)-J16</f>
        <v>2878675</v>
      </c>
      <c r="L16" s="1435">
        <f>F16-K16</f>
        <v>5475718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171870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0"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1526776</v>
      </c>
      <c r="G8" s="701"/>
    </row>
    <row r="9" spans="1:9" x14ac:dyDescent="0.2">
      <c r="A9" s="705" t="s">
        <v>457</v>
      </c>
      <c r="B9" s="706" t="s">
        <v>1848</v>
      </c>
      <c r="C9" s="707"/>
      <c r="D9" s="705" t="s">
        <v>498</v>
      </c>
      <c r="E9" s="704"/>
      <c r="F9" s="1775">
        <f>'Expenditures 15-22'!K151</f>
        <v>284807</v>
      </c>
      <c r="G9" s="708"/>
    </row>
    <row r="10" spans="1:9" x14ac:dyDescent="0.2">
      <c r="A10" s="705" t="s">
        <v>496</v>
      </c>
      <c r="B10" s="706" t="s">
        <v>1849</v>
      </c>
      <c r="C10" s="707"/>
      <c r="D10" s="705" t="s">
        <v>498</v>
      </c>
      <c r="E10" s="704"/>
      <c r="F10" s="1775">
        <f>'Expenditures 15-22'!K174</f>
        <v>410121</v>
      </c>
      <c r="G10" s="708"/>
    </row>
    <row r="11" spans="1:9" x14ac:dyDescent="0.2">
      <c r="A11" s="705" t="s">
        <v>458</v>
      </c>
      <c r="B11" s="706" t="s">
        <v>1850</v>
      </c>
      <c r="C11" s="707"/>
      <c r="D11" s="705" t="s">
        <v>498</v>
      </c>
      <c r="E11" s="704"/>
      <c r="F11" s="1775">
        <f>'Expenditures 15-22'!K210</f>
        <v>146131</v>
      </c>
      <c r="G11" s="708"/>
    </row>
    <row r="12" spans="1:9" x14ac:dyDescent="0.2">
      <c r="A12" s="705" t="s">
        <v>459</v>
      </c>
      <c r="B12" s="706" t="s">
        <v>1851</v>
      </c>
      <c r="C12" s="707"/>
      <c r="D12" s="705" t="s">
        <v>498</v>
      </c>
      <c r="E12" s="704"/>
      <c r="F12" s="1775">
        <f>'Expenditures 15-22'!K295</f>
        <v>40894</v>
      </c>
      <c r="G12" s="708"/>
    </row>
    <row r="13" spans="1:9" x14ac:dyDescent="0.2">
      <c r="A13" s="705" t="s">
        <v>106</v>
      </c>
      <c r="B13" s="706" t="s">
        <v>1852</v>
      </c>
      <c r="C13" s="707"/>
      <c r="D13" s="705" t="s">
        <v>498</v>
      </c>
      <c r="E13" s="704"/>
      <c r="F13" s="1775">
        <f>'Expenditures 15-22'!K342</f>
        <v>94074</v>
      </c>
      <c r="G13" s="709"/>
    </row>
    <row r="14" spans="1:9" ht="12" customHeight="1" thickBot="1" x14ac:dyDescent="0.25">
      <c r="A14" s="1443"/>
      <c r="B14" s="1444"/>
      <c r="C14" s="1445"/>
      <c r="D14" s="1446" t="s">
        <v>498</v>
      </c>
      <c r="E14" s="1447" t="s">
        <v>952</v>
      </c>
      <c r="F14" s="1776">
        <f>SUM(F8:F13)</f>
        <v>2502803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144569</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23335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355000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5850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528754</v>
      </c>
      <c r="G77" s="701"/>
    </row>
    <row r="78" spans="1:9" s="728" customFormat="1" ht="12" customHeight="1" thickTop="1" thickBot="1" x14ac:dyDescent="0.25">
      <c r="A78" s="1450"/>
      <c r="B78" s="1448"/>
      <c r="C78" s="1445"/>
      <c r="D78" s="1449" t="s">
        <v>2012</v>
      </c>
      <c r="E78" s="1447"/>
      <c r="F78" s="1788">
        <f>(F14-F77)</f>
        <v>1974049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157.19999999999999</v>
      </c>
      <c r="G79" s="733"/>
      <c r="H79" s="705"/>
      <c r="I79" s="705"/>
    </row>
    <row r="80" spans="1:9" s="728" customFormat="1" ht="12" customHeight="1" thickBot="1" x14ac:dyDescent="0.25">
      <c r="A80" s="1452"/>
      <c r="B80" s="1448"/>
      <c r="C80" s="1445"/>
      <c r="D80" s="1449" t="s">
        <v>2013</v>
      </c>
      <c r="E80" s="1447" t="s">
        <v>952</v>
      </c>
      <c r="F80" s="1790">
        <f>IF(F79&gt;0,F78/F79," Complete Line 79")</f>
        <v>12557.563613231554</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12876</v>
      </c>
      <c r="G95" s="745"/>
    </row>
    <row r="96" spans="1:7" x14ac:dyDescent="0.2">
      <c r="A96" s="741" t="s">
        <v>139</v>
      </c>
      <c r="B96" s="741" t="s">
        <v>174</v>
      </c>
      <c r="C96" s="743">
        <v>1700</v>
      </c>
      <c r="D96" s="751" t="str">
        <f>'Revenues 9-14'!A82</f>
        <v>Total District/School Activity Income</v>
      </c>
      <c r="E96" s="739"/>
      <c r="F96" s="1793">
        <f>SUM('Revenues 9-14'!C82,'Revenues 9-14'!D82)</f>
        <v>6013</v>
      </c>
      <c r="G96" s="745"/>
    </row>
    <row r="97" spans="1:7" x14ac:dyDescent="0.2">
      <c r="A97" s="741" t="s">
        <v>456</v>
      </c>
      <c r="B97" s="741" t="s">
        <v>175</v>
      </c>
      <c r="C97" s="743">
        <f>'Revenues 9-14'!B84</f>
        <v>1811</v>
      </c>
      <c r="D97" s="744" t="str">
        <f>'Revenues 9-14'!A84</f>
        <v>Rentals - Regular Textbooks</v>
      </c>
      <c r="E97" s="739"/>
      <c r="F97" s="1793">
        <f>'Revenues 9-14'!C84</f>
        <v>6630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16339</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134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60430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3842</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15372</v>
      </c>
      <c r="G125" s="763"/>
    </row>
    <row r="126" spans="1:7" x14ac:dyDescent="0.2">
      <c r="A126" s="760" t="s">
        <v>659</v>
      </c>
      <c r="B126" s="760" t="s">
        <v>1930</v>
      </c>
      <c r="C126" s="765">
        <v>4200</v>
      </c>
      <c r="D126" s="762" t="str">
        <f>'Revenues 9-14'!A198</f>
        <v>Total Food Service</v>
      </c>
      <c r="E126" s="739"/>
      <c r="F126" s="1793">
        <f>SUM('Revenues 9-14'!C198,'Revenues 9-14'!G198)</f>
        <v>10173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21360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13541</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49433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943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4130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143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37047</v>
      </c>
      <c r="G172" s="760"/>
    </row>
    <row r="173" spans="1:7" x14ac:dyDescent="0.2">
      <c r="A173" s="1529" t="s">
        <v>659</v>
      </c>
      <c r="B173" s="1530" t="s">
        <v>1885</v>
      </c>
      <c r="C173" s="1531">
        <v>3300</v>
      </c>
      <c r="D173" s="1532" t="s">
        <v>1888</v>
      </c>
      <c r="E173" s="739"/>
      <c r="F173" s="1794">
        <v>1</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308907</v>
      </c>
    </row>
    <row r="176" spans="1:7" ht="12" customHeight="1" x14ac:dyDescent="0.2">
      <c r="A176" s="1443"/>
      <c r="B176" s="1453"/>
      <c r="C176" s="1454"/>
      <c r="D176" s="1455" t="s">
        <v>2014</v>
      </c>
      <c r="E176" s="1456"/>
      <c r="F176" s="1793">
        <f>'PCTC-OEPP 27-28'!F78-F175</f>
        <v>1665142</v>
      </c>
    </row>
    <row r="177" spans="1:9" ht="12" customHeight="1" x14ac:dyDescent="0.2">
      <c r="A177" s="1443"/>
      <c r="B177" s="1453"/>
      <c r="C177" s="1454"/>
      <c r="D177" s="1455" t="s">
        <v>1794</v>
      </c>
      <c r="E177" s="1456"/>
      <c r="F177" s="1793">
        <f>'Cap Outlay Deprec 26'!I18</f>
        <v>171870</v>
      </c>
    </row>
    <row r="178" spans="1:9" ht="12" customHeight="1" x14ac:dyDescent="0.2">
      <c r="A178" s="1443"/>
      <c r="B178" s="1453"/>
      <c r="C178" s="1454"/>
      <c r="D178" s="1455" t="s">
        <v>2015</v>
      </c>
      <c r="E178" s="1456"/>
      <c r="F178" s="1793">
        <f>F176+F177</f>
        <v>1837012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157.19999999999999</v>
      </c>
      <c r="G179" s="763"/>
      <c r="I179" s="701"/>
    </row>
    <row r="180" spans="1:9" ht="12" customHeight="1" thickBot="1" x14ac:dyDescent="0.25">
      <c r="A180" s="1443"/>
      <c r="B180" s="1457"/>
      <c r="C180" s="1454"/>
      <c r="D180" s="1455" t="s">
        <v>2017</v>
      </c>
      <c r="E180" s="1456" t="s">
        <v>1528</v>
      </c>
      <c r="F180" s="1798">
        <f>F178/F179</f>
        <v>11685.82697201018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4"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2073</v>
      </c>
      <c r="B18" s="1908">
        <v>202540300</v>
      </c>
      <c r="C18" s="2036" t="s">
        <v>2072</v>
      </c>
      <c r="D18" s="1886">
        <v>10470</v>
      </c>
      <c r="E18" s="1906">
        <f t="shared" ref="E18:E81" si="0">IF(D18&lt;25000,D18,"25,000")</f>
        <v>10470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10470</v>
      </c>
      <c r="E142" s="1893">
        <f>SUM(E18:E141)</f>
        <v>10470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23" sqref="E2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6196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1009231</v>
      </c>
      <c r="F19" s="1802"/>
      <c r="G19" s="1804">
        <f>'Expenditures 15-22'!K33-SUM('Expenditures 15-22'!G33,'Expenditures 15-22'!I33)+'Expenditures 15-22'!D229</f>
        <v>1009231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20292</v>
      </c>
      <c r="F21" s="1805"/>
      <c r="G21" s="1808">
        <f>'Expenditures 15-22'!K42-SUM('Expenditures 15-22'!G42,'Expenditures 15-22'!I42)+'Expenditures 15-22'!K120-SUM('Expenditures 15-22'!G120,'Expenditures 15-22'!I120)+'Expenditures 15-22'!K180-SUM('Expenditures 15-22'!G180,'Expenditures 15-22'!I180)+'Expenditures 15-22'!D238</f>
        <v>20292</v>
      </c>
      <c r="H21" s="817"/>
      <c r="I21" s="157"/>
    </row>
    <row r="22" spans="1:9" s="542" customFormat="1" ht="12" customHeight="1" x14ac:dyDescent="0.2">
      <c r="A22" s="824" t="s">
        <v>560</v>
      </c>
      <c r="B22" s="825"/>
      <c r="C22" s="823">
        <v>2200</v>
      </c>
      <c r="D22" s="1805"/>
      <c r="E22" s="1807">
        <f>'Expenditures 15-22'!K47-SUM('Expenditures 15-22'!G47,'Expenditures 15-22'!I47)+'Expenditures 15-22'!D243</f>
        <v>45471</v>
      </c>
      <c r="F22" s="1805"/>
      <c r="G22" s="1808">
        <f>'Expenditures 15-22'!K47-SUM('Expenditures 15-22'!G47,'Expenditures 15-22'!I47)+'Expenditures 15-22'!D243</f>
        <v>45471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292656</v>
      </c>
      <c r="F23" s="1805"/>
      <c r="G23" s="1807">
        <f>'Expenditures 15-22'!K53-SUM('Expenditures 15-22'!G53,'Expenditures 15-22'!I53)+'Expenditures 15-22'!D257+'Expenditures 15-22'!K330-SUM('Expenditures 15-22'!G330,'Expenditures 15-22'!I330)</f>
        <v>292656</v>
      </c>
      <c r="H23" s="817"/>
      <c r="I23" s="157"/>
    </row>
    <row r="24" spans="1:9" s="542" customFormat="1" ht="12" customHeight="1" x14ac:dyDescent="0.2">
      <c r="A24" s="824" t="s">
        <v>562</v>
      </c>
      <c r="B24" s="825"/>
      <c r="C24" s="823">
        <v>2400</v>
      </c>
      <c r="D24" s="1805"/>
      <c r="E24" s="1807">
        <f>'Expenditures 15-22'!K57-SUM('Expenditures 15-22'!G57,'Expenditures 15-22'!I57)+'Expenditures 15-22'!D261</f>
        <v>86392</v>
      </c>
      <c r="F24" s="1805"/>
      <c r="G24" s="1808">
        <f>'Expenditures 15-22'!K57-SUM('Expenditures 15-22'!G57,'Expenditures 15-22'!I57)+'Expenditures 15-22'!D261</f>
        <v>86392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15200</v>
      </c>
      <c r="E27" s="1807">
        <f>E8</f>
        <v>0</v>
      </c>
      <c r="F27" s="1807">
        <f>'Expenditures 15-22'!K60-SUM('Expenditures 15-22'!G60,'Expenditures 15-22'!I60)+'Expenditures 15-22'!D264-E8</f>
        <v>15200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267617</v>
      </c>
      <c r="F28" s="1809">
        <f>'Expenditures 15-22'!K61-SUM('Expenditures 15-22'!G61,'Expenditures 15-22'!I61)+'Expenditures 15-22'!K124-SUM('Expenditures 15-22'!G124,'Expenditures 15-22'!I124)+'Expenditures 15-22'!D266-E9</f>
        <v>267617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146131</v>
      </c>
      <c r="F29" s="1805"/>
      <c r="G29" s="1808">
        <f>'Expenditures 15-22'!K62-SUM('Expenditures 15-22'!G62,'Expenditures 15-22'!I62)+'Expenditures 15-22'!K125-SUM('Expenditures 15-22'!G125,'Expenditures 15-22'!I125)+'Expenditures 15-22'!K182-SUM('Expenditures 15-22'!G182,'Expenditures 15-22'!I182)+'Expenditures 15-22'!D267</f>
        <v>146131</v>
      </c>
      <c r="H29" s="815"/>
    </row>
    <row r="30" spans="1:9" ht="12" customHeight="1" x14ac:dyDescent="0.2">
      <c r="A30" s="824" t="s">
        <v>100</v>
      </c>
      <c r="B30" s="827"/>
      <c r="C30" s="823">
        <v>2560</v>
      </c>
      <c r="D30" s="1805"/>
      <c r="E30" s="1807">
        <f>'Expenditures 15-22'!K63-SUM('Expenditures 15-22'!G63,'Expenditures 15-22'!I63)+'Expenditures 15-22'!D268-E10</f>
        <v>24181</v>
      </c>
      <c r="F30" s="1805"/>
      <c r="G30" s="1807">
        <f>'Expenditures 15-22'!K63-SUM('Expenditures 15-22'!G63,'Expenditures 15-22'!I63)+'Expenditures 15-22'!D268-E10</f>
        <v>24181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15200</v>
      </c>
      <c r="E41" s="1809">
        <f>SUM(E19:E40)</f>
        <v>1891971</v>
      </c>
      <c r="F41" s="1809">
        <f>SUM(F19:F39)</f>
        <v>282817</v>
      </c>
      <c r="G41" s="1809">
        <f>SUM(G19:G40)</f>
        <v>1624354</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15200</v>
      </c>
      <c r="F43" s="1458" t="s">
        <v>470</v>
      </c>
      <c r="G43" s="1810">
        <f>F41</f>
        <v>282817</v>
      </c>
    </row>
    <row r="44" spans="1:7" ht="12" customHeight="1" x14ac:dyDescent="0.2">
      <c r="A44" s="817"/>
      <c r="B44" s="157"/>
      <c r="C44" s="831"/>
      <c r="D44" s="1458" t="s">
        <v>471</v>
      </c>
      <c r="E44" s="1810">
        <f>E41</f>
        <v>1891971</v>
      </c>
      <c r="F44" s="1458" t="s">
        <v>471</v>
      </c>
      <c r="G44" s="1810">
        <f>G41</f>
        <v>1624354</v>
      </c>
    </row>
    <row r="45" spans="1:7" ht="12" customHeight="1" x14ac:dyDescent="0.2">
      <c r="A45" s="817"/>
      <c r="B45" s="157"/>
      <c r="C45" s="157"/>
      <c r="D45" s="1459" t="s">
        <v>999</v>
      </c>
      <c r="E45" s="1811">
        <f>(E43/E44)</f>
        <v>8.0339497804141815E-3</v>
      </c>
      <c r="F45" s="1459" t="s">
        <v>999</v>
      </c>
      <c r="G45" s="1811">
        <f>(G43/G44)</f>
        <v>0.17411044636821776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D4" zoomScale="110" zoomScaleNormal="110" workbookViewId="0">
      <selection activeCell="M28" sqref="M2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Dimmick CCSD 17.5</v>
      </c>
      <c r="D6" s="2415"/>
      <c r="E6" s="2415"/>
      <c r="F6" s="1482"/>
      <c r="G6" s="1507"/>
      <c r="L6" s="1507"/>
      <c r="M6" s="1855"/>
      <c r="N6" s="1855"/>
      <c r="O6" s="1855"/>
    </row>
    <row r="7" spans="1:15" ht="11.25" customHeight="1" thickBot="1" x14ac:dyDescent="0.3">
      <c r="A7" s="1480"/>
      <c r="B7" s="1481"/>
      <c r="C7" s="2416">
        <f>COVER!A13</f>
        <v>35050017504</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2067</v>
      </c>
      <c r="D26" s="1495" t="s">
        <v>2067</v>
      </c>
      <c r="E26" s="1498"/>
      <c r="F26" s="1497" t="s">
        <v>2071</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S65" sqref="S65"/>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Dimmick CCSD 17.5</v>
      </c>
      <c r="K6" s="2437"/>
      <c r="L6" s="2451"/>
      <c r="M6" s="838"/>
      <c r="N6" s="1998"/>
    </row>
    <row r="7" spans="1:14" x14ac:dyDescent="0.2">
      <c r="A7" s="2452" t="s">
        <v>864</v>
      </c>
      <c r="B7" s="2453"/>
      <c r="C7" s="2453"/>
      <c r="D7" s="2453"/>
      <c r="E7" s="2454"/>
      <c r="F7" s="839"/>
      <c r="G7" s="838"/>
      <c r="H7" s="838"/>
      <c r="I7" s="1924" t="s">
        <v>369</v>
      </c>
      <c r="J7" s="2439">
        <f>COVER!A13</f>
        <v>35050017504</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147360</v>
      </c>
      <c r="F12" s="1942"/>
      <c r="G12" s="1968">
        <f>G68</f>
        <v>24451</v>
      </c>
      <c r="H12" s="1944">
        <f t="shared" ref="H12:H18" si="0">SUM(E12:G12)</f>
        <v>171811</v>
      </c>
      <c r="I12" s="1943">
        <v>154200</v>
      </c>
      <c r="J12" s="1942"/>
      <c r="K12" s="1943">
        <v>25660</v>
      </c>
      <c r="L12" s="1944">
        <f t="shared" ref="L12:L18" si="1">SUM(I12:K12)</f>
        <v>179860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147360</v>
      </c>
      <c r="F19" s="1950">
        <f t="shared" si="2"/>
        <v>0</v>
      </c>
      <c r="G19" s="1950">
        <f t="shared" ref="G19" si="3">SUM(G12:G17)-G18</f>
        <v>24451</v>
      </c>
      <c r="H19" s="1950">
        <f t="shared" si="2"/>
        <v>171811</v>
      </c>
      <c r="I19" s="1950">
        <f t="shared" si="2"/>
        <v>154200</v>
      </c>
      <c r="J19" s="1950">
        <f t="shared" si="2"/>
        <v>0</v>
      </c>
      <c r="K19" s="1950">
        <f t="shared" si="2"/>
        <v>25660</v>
      </c>
      <c r="L19" s="1950">
        <f t="shared" si="2"/>
        <v>179860</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4.6847989942436746E-2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Dimmick CCSD 17.5</v>
      </c>
      <c r="M52" s="2437"/>
      <c r="N52" s="2438"/>
    </row>
    <row r="53" spans="1:14" x14ac:dyDescent="0.2">
      <c r="A53" s="1982"/>
      <c r="B53" s="1983"/>
      <c r="C53" s="1983"/>
      <c r="D53" s="1983"/>
      <c r="E53" s="1983"/>
      <c r="F53" s="1983"/>
      <c r="G53" s="1983"/>
      <c r="H53" s="1983"/>
      <c r="I53" s="1983"/>
      <c r="J53" s="1983"/>
      <c r="K53" s="1924" t="s">
        <v>369</v>
      </c>
      <c r="L53" s="2439">
        <f>J7</f>
        <v>35050017504</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5741</v>
      </c>
      <c r="F58" s="1972"/>
      <c r="G58" s="2031"/>
      <c r="H58" s="2032"/>
      <c r="I58" s="2032"/>
      <c r="J58" s="2032"/>
      <c r="K58" s="2032"/>
      <c r="L58" s="2032"/>
      <c r="M58" s="2032">
        <v>5741</v>
      </c>
      <c r="N58" s="1975">
        <f>IF((SUM(G58:M58))=E58,SUM(G58:M58),"Column N does not agree with Column E")</f>
        <v>5741</v>
      </c>
    </row>
    <row r="59" spans="1:14" ht="24.75" customHeight="1" x14ac:dyDescent="0.2">
      <c r="A59" s="2419" t="s">
        <v>297</v>
      </c>
      <c r="B59" s="2420"/>
      <c r="C59" s="242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9" t="s">
        <v>236</v>
      </c>
      <c r="B60" s="2420"/>
      <c r="C60" s="242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62339</v>
      </c>
      <c r="F63" s="1972"/>
      <c r="G63" s="2031">
        <v>24451</v>
      </c>
      <c r="H63" s="2032"/>
      <c r="I63" s="2032"/>
      <c r="J63" s="2032"/>
      <c r="K63" s="2032"/>
      <c r="L63" s="2032"/>
      <c r="M63" s="2032">
        <v>37888</v>
      </c>
      <c r="N63" s="1975">
        <f t="shared" si="4"/>
        <v>62339</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20144</v>
      </c>
      <c r="F66" s="1972"/>
      <c r="G66" s="2031"/>
      <c r="H66" s="2032"/>
      <c r="I66" s="2032"/>
      <c r="J66" s="2032"/>
      <c r="K66" s="2032"/>
      <c r="L66" s="2032"/>
      <c r="M66" s="2032">
        <v>20144</v>
      </c>
      <c r="N66" s="1975">
        <f t="shared" si="4"/>
        <v>20144</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88224</v>
      </c>
      <c r="F68" s="1973"/>
      <c r="G68" s="1974">
        <f t="shared" ref="G68:N68" si="5">SUM(G57:G67)</f>
        <v>24451</v>
      </c>
      <c r="H68" s="1974">
        <f t="shared" si="5"/>
        <v>0</v>
      </c>
      <c r="I68" s="1974">
        <f t="shared" si="5"/>
        <v>0</v>
      </c>
      <c r="J68" s="1974">
        <f t="shared" si="5"/>
        <v>0</v>
      </c>
      <c r="K68" s="1974">
        <f t="shared" si="5"/>
        <v>0</v>
      </c>
      <c r="L68" s="1974">
        <f t="shared" si="5"/>
        <v>0</v>
      </c>
      <c r="M68" s="1974">
        <f t="shared" si="5"/>
        <v>63773</v>
      </c>
      <c r="N68" s="1988">
        <f t="shared" si="5"/>
        <v>88224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4" sqref="B2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2074</v>
      </c>
    </row>
    <row r="6" spans="1:2" x14ac:dyDescent="0.2">
      <c r="A6" s="847">
        <v>2</v>
      </c>
      <c r="B6" s="307" t="s">
        <v>2075</v>
      </c>
    </row>
    <row r="7" spans="1:2" x14ac:dyDescent="0.2">
      <c r="A7" s="847">
        <v>3</v>
      </c>
      <c r="B7" s="307" t="s">
        <v>2076</v>
      </c>
    </row>
    <row r="8" spans="1:2" x14ac:dyDescent="0.2">
      <c r="A8" s="847">
        <v>4</v>
      </c>
      <c r="B8" s="307" t="s">
        <v>2077</v>
      </c>
    </row>
    <row r="9" spans="1:2" x14ac:dyDescent="0.2">
      <c r="A9" s="848">
        <v>5</v>
      </c>
      <c r="B9" s="307" t="s">
        <v>2078</v>
      </c>
    </row>
    <row r="10" spans="1:2" x14ac:dyDescent="0.2">
      <c r="A10" s="848">
        <v>6</v>
      </c>
      <c r="B10" s="307" t="s">
        <v>2079</v>
      </c>
    </row>
    <row r="11" spans="1:2" x14ac:dyDescent="0.2">
      <c r="A11" s="848">
        <v>7</v>
      </c>
      <c r="B11" s="307" t="s">
        <v>2080</v>
      </c>
    </row>
    <row r="12" spans="1:2" x14ac:dyDescent="0.2">
      <c r="A12" s="848">
        <v>8</v>
      </c>
      <c r="B12" s="307" t="s">
        <v>2081</v>
      </c>
    </row>
    <row r="13" spans="1:2" x14ac:dyDescent="0.2">
      <c r="A13" s="848">
        <v>9</v>
      </c>
      <c r="B13" s="307" t="s">
        <v>2082</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Dimmick CCSD 17.5</v>
      </c>
    </row>
    <row r="65" spans="2:2" x14ac:dyDescent="0.2">
      <c r="B65" s="849">
        <f>COVER!A13</f>
        <v>35050017504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82" zoomScale="110" zoomScaleNormal="110" workbookViewId="0">
      <selection activeCell="D20" sqref="D2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1631873</v>
      </c>
      <c r="C8" s="1813">
        <f>'Acct Summary 7-8'!D8</f>
        <v>749024</v>
      </c>
      <c r="D8" s="1813">
        <f>'Acct Summary 7-8'!F8</f>
        <v>202388</v>
      </c>
      <c r="E8" s="1813">
        <f>'Acct Summary 7-8'!I8</f>
        <v>59010</v>
      </c>
      <c r="F8" s="1813">
        <f>SUM(B8:E8)</f>
        <v>2642295</v>
      </c>
    </row>
    <row r="9" spans="1:8" s="858" customFormat="1" ht="14.25" customHeight="1" thickBot="1" x14ac:dyDescent="0.25">
      <c r="A9" s="857" t="s">
        <v>1353</v>
      </c>
      <c r="B9" s="1814">
        <f>'Acct Summary 7-8'!C17</f>
        <v>1526776</v>
      </c>
      <c r="C9" s="1814">
        <f>'Acct Summary 7-8'!D17</f>
        <v>284807</v>
      </c>
      <c r="D9" s="1814">
        <f>'Acct Summary 7-8'!F17</f>
        <v>146131</v>
      </c>
      <c r="E9" s="1813"/>
      <c r="F9" s="1813">
        <f>SUM(B9:E9)</f>
        <v>1957714</v>
      </c>
    </row>
    <row r="10" spans="1:8" s="858" customFormat="1" ht="14.25" thickTop="1" thickBot="1" x14ac:dyDescent="0.25">
      <c r="A10" s="859" t="s">
        <v>1354</v>
      </c>
      <c r="B10" s="1815">
        <f>(B8-B9)</f>
        <v>105097</v>
      </c>
      <c r="C10" s="1815">
        <f>(C8-C9)</f>
        <v>464217</v>
      </c>
      <c r="D10" s="1815">
        <f>(D8-D9)</f>
        <v>56257</v>
      </c>
      <c r="E10" s="1814">
        <f>(E8-E9)</f>
        <v>59010</v>
      </c>
      <c r="F10" s="1816">
        <f>SUM(F8-F9)</f>
        <v>684581</v>
      </c>
    </row>
    <row r="11" spans="1:8" s="858" customFormat="1" ht="14.25" thickTop="1" thickBot="1" x14ac:dyDescent="0.25">
      <c r="A11" s="860" t="s">
        <v>1903</v>
      </c>
      <c r="B11" s="1817">
        <f>'Acct Summary 7-8'!C81</f>
        <v>2895012</v>
      </c>
      <c r="C11" s="1817">
        <f>'Acct Summary 7-8'!D81</f>
        <v>886865</v>
      </c>
      <c r="D11" s="1817">
        <f>'Acct Summary 7-8'!F81</f>
        <v>169103</v>
      </c>
      <c r="E11" s="1817">
        <f>'Acct Summary 7-8'!I81</f>
        <v>0</v>
      </c>
      <c r="F11" s="1818">
        <f>SUM(B11:E11)</f>
        <v>3950980</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53" sqref="D5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35050017504</v>
      </c>
      <c r="E2" s="1542">
        <v>2020</v>
      </c>
      <c r="F2" s="1542">
        <v>1</v>
      </c>
      <c r="G2" s="1899">
        <v>101000300</v>
      </c>
    </row>
    <row r="3" spans="1:7" ht="15" x14ac:dyDescent="0.25">
      <c r="A3" t="s">
        <v>950</v>
      </c>
      <c r="B3" s="135" t="str">
        <f>COVER!A15</f>
        <v>LASALLE</v>
      </c>
      <c r="E3" s="1830" t="s">
        <v>1971</v>
      </c>
      <c r="F3" s="1830" t="s">
        <v>1970</v>
      </c>
      <c r="G3" s="1899">
        <v>101000400</v>
      </c>
    </row>
    <row r="4" spans="1:7" ht="15" x14ac:dyDescent="0.25">
      <c r="A4" t="s">
        <v>1000</v>
      </c>
      <c r="B4" s="135" t="str">
        <f>COVER!A17</f>
        <v xml:space="preserve"> Dimmick CCSD 17.5</v>
      </c>
      <c r="E4" s="1828">
        <v>44119</v>
      </c>
      <c r="F4" s="1829">
        <v>44151</v>
      </c>
      <c r="G4" s="1899">
        <v>101000600</v>
      </c>
    </row>
    <row r="5" spans="1:7" ht="15" x14ac:dyDescent="0.25">
      <c r="A5" t="s">
        <v>699</v>
      </c>
      <c r="B5" s="135" t="str">
        <f>COVER!A38</f>
        <v>RYAN LINNING</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066-004501</v>
      </c>
      <c r="G15" s="1899">
        <v>402100400</v>
      </c>
    </row>
    <row r="16" spans="1:7" ht="15" x14ac:dyDescent="0.25">
      <c r="A16" t="s">
        <v>419</v>
      </c>
      <c r="B16" s="135" t="str">
        <f>COVER!T13</f>
        <v>HOPKINS &amp; ASSOCIATES, CPAS</v>
      </c>
      <c r="G16" s="1899">
        <v>402100600</v>
      </c>
    </row>
    <row r="17" spans="1:7" ht="15" x14ac:dyDescent="0.25">
      <c r="A17" t="s">
        <v>878</v>
      </c>
      <c r="B17" s="135" t="str">
        <f>COVER!T15</f>
        <v>JOEL HOPKINS</v>
      </c>
      <c r="G17" s="1899">
        <v>402100800</v>
      </c>
    </row>
    <row r="18" spans="1:7" ht="15" x14ac:dyDescent="0.25">
      <c r="A18" t="s">
        <v>1140</v>
      </c>
      <c r="B18" s="135" t="str">
        <f>COVER!T17</f>
        <v>314 S MCCOY STREET</v>
      </c>
      <c r="G18" s="1899">
        <v>102200300</v>
      </c>
    </row>
    <row r="19" spans="1:7" ht="15" x14ac:dyDescent="0.25">
      <c r="A19" t="s">
        <v>880</v>
      </c>
      <c r="B19" s="135" t="str">
        <f>COVER!T25</f>
        <v>JOEL@HOPKINSOFFICE.COM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2895012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2895012</v>
      </c>
      <c r="D92" s="2" t="str">
        <f t="shared" si="0"/>
        <v>Error?</v>
      </c>
      <c r="G92" s="1899">
        <v>102640600</v>
      </c>
    </row>
    <row r="93" spans="1:7" ht="15" x14ac:dyDescent="0.25">
      <c r="A93" s="5">
        <v>32</v>
      </c>
      <c r="B93" s="1832">
        <f>'Assets-Liab 5-6'!C41</f>
        <v>2895012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886865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886865</v>
      </c>
      <c r="D123" s="2" t="str">
        <f t="shared" si="0"/>
        <v>Error?</v>
      </c>
      <c r="G123" s="1899">
        <v>203000400</v>
      </c>
    </row>
    <row r="124" spans="1:7" ht="15" x14ac:dyDescent="0.25">
      <c r="A124" s="5">
        <v>63</v>
      </c>
      <c r="B124" s="1832">
        <f>'Assets-Liab 5-6'!D41</f>
        <v>886865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247579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247579</v>
      </c>
      <c r="D140" s="2" t="str">
        <f t="shared" si="1"/>
        <v>Error?</v>
      </c>
    </row>
    <row r="141" spans="1:7" x14ac:dyDescent="0.2">
      <c r="A141" s="5">
        <v>80</v>
      </c>
      <c r="B141" s="1832">
        <f>'Assets-Liab 5-6'!E41</f>
        <v>247579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169103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169103</v>
      </c>
      <c r="D170" s="2" t="str">
        <f t="shared" si="1"/>
        <v>Error?</v>
      </c>
    </row>
    <row r="171" spans="1:4" x14ac:dyDescent="0.2">
      <c r="A171" s="5">
        <v>110</v>
      </c>
      <c r="B171" s="1832">
        <f>'Assets-Liab 5-6'!F41</f>
        <v>169103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70419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70419</v>
      </c>
      <c r="D189" s="2" t="str">
        <f t="shared" si="1"/>
        <v>Error?</v>
      </c>
    </row>
    <row r="190" spans="1:4" x14ac:dyDescent="0.2">
      <c r="A190" s="5">
        <v>129</v>
      </c>
      <c r="B190" s="1832">
        <f>'Assets-Liab 5-6'!G41</f>
        <v>70419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120450</v>
      </c>
      <c r="D273" s="2" t="str">
        <f t="shared" si="3"/>
        <v>Error?</v>
      </c>
    </row>
    <row r="274" spans="1:4" x14ac:dyDescent="0.2">
      <c r="A274" s="5">
        <v>213</v>
      </c>
      <c r="B274" s="1832">
        <f>'Assets-Liab 5-6'!M17</f>
        <v>7206611</v>
      </c>
      <c r="D274" s="2" t="str">
        <f t="shared" si="3"/>
        <v>Error?</v>
      </c>
    </row>
    <row r="275" spans="1:4" x14ac:dyDescent="0.2">
      <c r="A275" s="5">
        <v>214</v>
      </c>
      <c r="B275" s="1832">
        <f>'Assets-Liab 5-6'!M18</f>
        <v>334224</v>
      </c>
      <c r="D275" s="2" t="str">
        <f t="shared" si="3"/>
        <v>Error?</v>
      </c>
    </row>
    <row r="276" spans="1:4" x14ac:dyDescent="0.2">
      <c r="A276" s="5">
        <v>215</v>
      </c>
      <c r="B276" s="1832">
        <f>'Assets-Liab 5-6'!M19</f>
        <v>693108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8354393</v>
      </c>
      <c r="C279" s="2" t="s">
        <v>569</v>
      </c>
      <c r="D279" s="2" t="str">
        <f t="shared" si="3"/>
        <v>Error?</v>
      </c>
    </row>
    <row r="280" spans="1:4" x14ac:dyDescent="0.2">
      <c r="A280" s="5">
        <v>219</v>
      </c>
      <c r="B280" s="1832">
        <f>'Assets-Liab 5-6'!M40</f>
        <v>8354393</v>
      </c>
      <c r="D280" s="2" t="str">
        <f t="shared" si="3"/>
        <v>Error?</v>
      </c>
    </row>
    <row r="281" spans="1:4" x14ac:dyDescent="0.2">
      <c r="A281" s="5">
        <v>220</v>
      </c>
      <c r="B281" s="1832">
        <f>'Assets-Liab 5-6'!M41</f>
        <v>8354393</v>
      </c>
      <c r="C281" s="2" t="s">
        <v>569</v>
      </c>
      <c r="D281" s="2" t="str">
        <f t="shared" si="3"/>
        <v>Error?</v>
      </c>
    </row>
    <row r="282" spans="1:4" x14ac:dyDescent="0.2">
      <c r="A282" s="5">
        <v>221</v>
      </c>
      <c r="B282" s="1832">
        <f>'Assets-Liab 5-6'!N21</f>
        <v>247579</v>
      </c>
      <c r="D282" s="2" t="str">
        <f t="shared" si="3"/>
        <v>Error?</v>
      </c>
    </row>
    <row r="283" spans="1:4" x14ac:dyDescent="0.2">
      <c r="A283" s="5">
        <v>222</v>
      </c>
      <c r="B283" s="1832">
        <f>'Assets-Liab 5-6'!N22</f>
        <v>1402421</v>
      </c>
      <c r="D283" s="2" t="str">
        <f t="shared" si="3"/>
        <v>Error?</v>
      </c>
    </row>
    <row r="284" spans="1:4" x14ac:dyDescent="0.2">
      <c r="A284" s="5">
        <v>223</v>
      </c>
      <c r="B284" s="1832">
        <f>'Assets-Liab 5-6'!N23</f>
        <v>1650000</v>
      </c>
      <c r="C284" s="2" t="s">
        <v>569</v>
      </c>
      <c r="D284" s="2" t="str">
        <f t="shared" si="3"/>
        <v>Error?</v>
      </c>
    </row>
    <row r="285" spans="1:4" x14ac:dyDescent="0.2">
      <c r="A285" s="5">
        <v>224</v>
      </c>
      <c r="B285" s="1832">
        <f>'Assets-Liab 5-6'!N36</f>
        <v>1650000</v>
      </c>
      <c r="D285" s="2" t="str">
        <f t="shared" si="3"/>
        <v>Error?</v>
      </c>
    </row>
    <row r="286" spans="1:4" x14ac:dyDescent="0.2">
      <c r="A286" s="10">
        <v>225</v>
      </c>
      <c r="B286" s="1832"/>
      <c r="D286" s="2" t="str">
        <f t="shared" si="3"/>
        <v>OK</v>
      </c>
    </row>
    <row r="287" spans="1:4" x14ac:dyDescent="0.2">
      <c r="A287" s="5">
        <v>226</v>
      </c>
      <c r="B287" s="1832">
        <f>'Assets-Liab 5-6'!N37</f>
        <v>1650000</v>
      </c>
      <c r="C287" s="2" t="s">
        <v>569</v>
      </c>
      <c r="D287" s="2" t="str">
        <f t="shared" si="3"/>
        <v>Error?</v>
      </c>
    </row>
    <row r="288" spans="1:4" x14ac:dyDescent="0.2">
      <c r="A288" s="5">
        <v>227</v>
      </c>
      <c r="B288" s="1832">
        <f>'Assets-Liab 5-6'!N41</f>
        <v>1650000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59010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674522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18505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749369</v>
      </c>
      <c r="C720" s="2" t="s">
        <v>569</v>
      </c>
      <c r="D720" s="2" t="str">
        <f t="shared" si="10"/>
        <v>Error?</v>
      </c>
    </row>
    <row r="721" spans="1:4" x14ac:dyDescent="0.2">
      <c r="A721" s="5">
        <v>660</v>
      </c>
      <c r="B721" s="1832">
        <f>'Expenditures 15-22'!C36</f>
        <v>11110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1000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12110</v>
      </c>
      <c r="C727" s="2" t="s">
        <v>569</v>
      </c>
      <c r="D727" s="2" t="str">
        <f t="shared" si="10"/>
        <v>Error?</v>
      </c>
    </row>
    <row r="728" spans="1:4" x14ac:dyDescent="0.2">
      <c r="A728" s="5">
        <v>667</v>
      </c>
      <c r="B728" s="1832">
        <f>'Expenditures 15-22'!C44</f>
        <v>12794</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12794</v>
      </c>
      <c r="C731" s="2" t="s">
        <v>569</v>
      </c>
      <c r="D731" s="2" t="str">
        <f t="shared" si="10"/>
        <v>Error?</v>
      </c>
    </row>
    <row r="732" spans="1:4" x14ac:dyDescent="0.2">
      <c r="A732" s="5">
        <v>671</v>
      </c>
      <c r="B732" s="1832">
        <f>'Expenditures 15-22'!C49</f>
        <v>2460</v>
      </c>
      <c r="D732" s="2" t="str">
        <f t="shared" si="10"/>
        <v>Error?</v>
      </c>
    </row>
    <row r="733" spans="1:4" x14ac:dyDescent="0.2">
      <c r="A733" s="5">
        <v>672</v>
      </c>
      <c r="B733" s="1832">
        <f>'Expenditures 15-22'!C50</f>
        <v>108976</v>
      </c>
      <c r="D733" s="2" t="str">
        <f t="shared" si="10"/>
        <v>Error?</v>
      </c>
    </row>
    <row r="734" spans="1:4" x14ac:dyDescent="0.2">
      <c r="A734" s="5">
        <v>673</v>
      </c>
      <c r="B734" s="1832">
        <f>'Expenditures 15-22'!C53</f>
        <v>111436</v>
      </c>
      <c r="C734" s="2" t="s">
        <v>569</v>
      </c>
      <c r="D734" s="2" t="str">
        <f t="shared" si="10"/>
        <v>Error?</v>
      </c>
    </row>
    <row r="735" spans="1:4" x14ac:dyDescent="0.2">
      <c r="A735" s="5">
        <v>674</v>
      </c>
      <c r="B735" s="1832">
        <f>'Expenditures 15-22'!C55</f>
        <v>76736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76736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213076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962445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132552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138318</v>
      </c>
      <c r="C778" s="2" t="s">
        <v>569</v>
      </c>
      <c r="D778" s="2" t="str">
        <f t="shared" si="11"/>
        <v>Error?</v>
      </c>
    </row>
    <row r="779" spans="1:4" x14ac:dyDescent="0.2">
      <c r="A779" s="5">
        <v>718</v>
      </c>
      <c r="B779" s="1832">
        <f>'Expenditures 15-22'!D36</f>
        <v>167</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167</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36788</v>
      </c>
      <c r="D791" s="2" t="str">
        <f t="shared" si="11"/>
        <v>Error?</v>
      </c>
    </row>
    <row r="792" spans="1:4" x14ac:dyDescent="0.2">
      <c r="A792" s="5">
        <v>731</v>
      </c>
      <c r="B792" s="1832">
        <f>'Expenditures 15-22'!D53</f>
        <v>36788</v>
      </c>
      <c r="C792" s="2" t="s">
        <v>569</v>
      </c>
      <c r="D792" s="2" t="str">
        <f t="shared" si="11"/>
        <v>Error?</v>
      </c>
    </row>
    <row r="793" spans="1:4" x14ac:dyDescent="0.2">
      <c r="A793" s="5">
        <v>732</v>
      </c>
      <c r="B793" s="1832">
        <f>'Expenditures 15-22'!D55</f>
        <v>4412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4412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41367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179685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30922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2852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34138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7739</v>
      </c>
      <c r="D842" s="2" t="str">
        <f t="shared" si="12"/>
        <v>Error?</v>
      </c>
    </row>
    <row r="843" spans="1:4" x14ac:dyDescent="0.2">
      <c r="A843" s="5">
        <v>782</v>
      </c>
      <c r="B843" s="1832">
        <f>'Expenditures 15-22'!E42</f>
        <v>7739</v>
      </c>
      <c r="C843" s="2" t="s">
        <v>569</v>
      </c>
      <c r="D843" s="2" t="str">
        <f t="shared" si="12"/>
        <v>Error?</v>
      </c>
    </row>
    <row r="844" spans="1:4" x14ac:dyDescent="0.2">
      <c r="A844" s="5">
        <v>783</v>
      </c>
      <c r="B844" s="1832">
        <f>'Expenditures 15-22'!E44</f>
        <v>2685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2685</v>
      </c>
      <c r="C847" s="2" t="s">
        <v>569</v>
      </c>
      <c r="D847" s="2" t="str">
        <f t="shared" si="12"/>
        <v>Error?</v>
      </c>
    </row>
    <row r="848" spans="1:4" x14ac:dyDescent="0.2">
      <c r="A848" s="5">
        <v>787</v>
      </c>
      <c r="B848" s="1832">
        <f>'Expenditures 15-22'!E49</f>
        <v>36424</v>
      </c>
      <c r="D848" s="2" t="str">
        <f t="shared" si="12"/>
        <v>Error?</v>
      </c>
    </row>
    <row r="849" spans="1:4" x14ac:dyDescent="0.2">
      <c r="A849" s="5">
        <v>788</v>
      </c>
      <c r="B849" s="1832">
        <f>'Expenditures 15-22'!E50</f>
        <v>432</v>
      </c>
      <c r="D849" s="2" t="str">
        <f t="shared" si="12"/>
        <v>Error?</v>
      </c>
    </row>
    <row r="850" spans="1:4" x14ac:dyDescent="0.2">
      <c r="A850" s="5">
        <v>789</v>
      </c>
      <c r="B850" s="1832">
        <f>'Expenditures 15-22'!E53</f>
        <v>36856</v>
      </c>
      <c r="C850" s="2" t="s">
        <v>569</v>
      </c>
      <c r="D850" s="2" t="str">
        <f t="shared" si="12"/>
        <v>Error?</v>
      </c>
    </row>
    <row r="851" spans="1:4" x14ac:dyDescent="0.2">
      <c r="A851" s="5">
        <v>790</v>
      </c>
      <c r="B851" s="1832">
        <f>'Expenditures 15-22'!E55</f>
        <v>567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567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15200</v>
      </c>
      <c r="D855" s="2" t="str">
        <f t="shared" si="12"/>
        <v>Error?</v>
      </c>
    </row>
    <row r="856" spans="1:4" x14ac:dyDescent="0.2">
      <c r="A856" s="5">
        <v>795</v>
      </c>
      <c r="B856" s="1832">
        <f>'Expenditures 15-22'!E61</f>
        <v>8502</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22630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46332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94179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210529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63564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1779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66069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115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115</v>
      </c>
      <c r="C901" s="2" t="s">
        <v>569</v>
      </c>
      <c r="D901" s="2" t="str">
        <f t="shared" si="13"/>
        <v>Error?</v>
      </c>
    </row>
    <row r="902" spans="1:4" x14ac:dyDescent="0.2">
      <c r="A902" s="5">
        <v>841</v>
      </c>
      <c r="B902" s="1832">
        <f>'Expenditures 15-22'!F44</f>
        <v>28913</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1079</v>
      </c>
      <c r="D904" s="2" t="str">
        <f t="shared" si="13"/>
        <v>Error?</v>
      </c>
    </row>
    <row r="905" spans="1:4" x14ac:dyDescent="0.2">
      <c r="A905" s="5">
        <v>844</v>
      </c>
      <c r="B905" s="1832">
        <f>'Expenditures 15-22'!F47</f>
        <v>29992</v>
      </c>
      <c r="C905" s="2" t="s">
        <v>569</v>
      </c>
      <c r="D905" s="2" t="str">
        <f t="shared" si="13"/>
        <v>Error?</v>
      </c>
    </row>
    <row r="906" spans="1:4" x14ac:dyDescent="0.2">
      <c r="A906" s="5">
        <v>845</v>
      </c>
      <c r="B906" s="1832">
        <f>'Expenditures 15-22'!F49</f>
        <v>877</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877</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1551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1551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32535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98604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100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2006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2106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9518</v>
      </c>
      <c r="D1022" s="2" t="str">
        <f t="shared" si="14"/>
        <v>Error?</v>
      </c>
    </row>
    <row r="1023" spans="1:4" x14ac:dyDescent="0.2">
      <c r="A1023" s="5">
        <v>962</v>
      </c>
      <c r="B1023" s="1832">
        <f>'Expenditures 15-22'!H50</f>
        <v>1164</v>
      </c>
      <c r="D1023" s="2" t="str">
        <f t="shared" ref="D1023:D1086" si="15">IF(ISBLANK(B1023),"OK",IF(A1023-B1023=0,"OK","Error?"))</f>
        <v>Error?</v>
      </c>
    </row>
    <row r="1024" spans="1:4" x14ac:dyDescent="0.2">
      <c r="A1024" s="5">
        <v>963</v>
      </c>
      <c r="B1024" s="1832">
        <f>'Expenditures 15-22'!H53</f>
        <v>10682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10682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62357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75513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901660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25142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990000</v>
      </c>
      <c r="C1108" s="2" t="s">
        <v>569</v>
      </c>
      <c r="D1108" s="2" t="str">
        <f t="shared" si="16"/>
        <v>Error?</v>
      </c>
    </row>
    <row r="1109" spans="1:4" x14ac:dyDescent="0.2">
      <c r="A1109" s="5">
        <v>1048</v>
      </c>
      <c r="B1109" s="1832">
        <f>'Expenditures 15-22'!K36</f>
        <v>11277</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1115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7739</v>
      </c>
      <c r="C1114" s="2" t="s">
        <v>569</v>
      </c>
      <c r="D1114" s="2" t="str">
        <f t="shared" si="16"/>
        <v>Error?</v>
      </c>
    </row>
    <row r="1115" spans="1:4" x14ac:dyDescent="0.2">
      <c r="A1115" s="5">
        <v>1054</v>
      </c>
      <c r="B1115" s="1832">
        <f>'Expenditures 15-22'!K42</f>
        <v>20131</v>
      </c>
      <c r="C1115" s="2" t="s">
        <v>569</v>
      </c>
      <c r="D1115" s="2" t="str">
        <f t="shared" si="16"/>
        <v>Error?</v>
      </c>
    </row>
    <row r="1116" spans="1:4" x14ac:dyDescent="0.2">
      <c r="A1116" s="5">
        <v>1055</v>
      </c>
      <c r="B1116" s="1832">
        <f>'Expenditures 15-22'!K44</f>
        <v>44392</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1079</v>
      </c>
      <c r="C1118" s="2" t="s">
        <v>569</v>
      </c>
      <c r="D1118" s="2" t="str">
        <f t="shared" si="16"/>
        <v>Error?</v>
      </c>
    </row>
    <row r="1119" spans="1:4" x14ac:dyDescent="0.2">
      <c r="A1119" s="5">
        <v>1058</v>
      </c>
      <c r="B1119" s="1832">
        <f>'Expenditures 15-22'!K47</f>
        <v>45471</v>
      </c>
      <c r="C1119" s="2" t="s">
        <v>569</v>
      </c>
      <c r="D1119" s="2" t="str">
        <f t="shared" si="16"/>
        <v>Error?</v>
      </c>
    </row>
    <row r="1120" spans="1:4" x14ac:dyDescent="0.2">
      <c r="A1120" s="5">
        <v>1059</v>
      </c>
      <c r="B1120" s="1832">
        <f>'Expenditures 15-22'!K49</f>
        <v>49279</v>
      </c>
      <c r="C1120" s="2" t="s">
        <v>569</v>
      </c>
      <c r="D1120" s="2" t="str">
        <f t="shared" si="16"/>
        <v>Error?</v>
      </c>
    </row>
    <row r="1121" spans="1:4" x14ac:dyDescent="0.2">
      <c r="A1121" s="5">
        <v>1060</v>
      </c>
      <c r="B1121" s="1832">
        <f>'Expenditures 15-22'!K50</f>
        <v>147360</v>
      </c>
      <c r="C1121" s="2" t="s">
        <v>569</v>
      </c>
      <c r="D1121" s="2" t="str">
        <f t="shared" si="16"/>
        <v>Error?</v>
      </c>
    </row>
    <row r="1122" spans="1:4" x14ac:dyDescent="0.2">
      <c r="A1122" s="5">
        <v>1061</v>
      </c>
      <c r="B1122" s="1832">
        <f>'Expenditures 15-22'!K53</f>
        <v>196639</v>
      </c>
      <c r="C1122" s="2" t="s">
        <v>569</v>
      </c>
      <c r="D1122" s="2" t="str">
        <f t="shared" si="16"/>
        <v>Error?</v>
      </c>
    </row>
    <row r="1123" spans="1:4" x14ac:dyDescent="0.2">
      <c r="A1123" s="5">
        <v>1062</v>
      </c>
      <c r="B1123" s="1832">
        <f>'Expenditures 15-22'!K55</f>
        <v>81715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81715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15200</v>
      </c>
      <c r="C1127" s="2" t="s">
        <v>569</v>
      </c>
      <c r="D1127" s="2" t="str">
        <f t="shared" si="16"/>
        <v>Error?</v>
      </c>
    </row>
    <row r="1128" spans="1:4" x14ac:dyDescent="0.2">
      <c r="A1128" s="5">
        <v>1067</v>
      </c>
      <c r="B1128" s="1832">
        <f>'Expenditures 15-22'!K61</f>
        <v>8502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24181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47883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391839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144569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1526776</v>
      </c>
      <c r="C1152" s="2" t="s">
        <v>569</v>
      </c>
      <c r="D1152" s="2" t="str">
        <f t="shared" si="17"/>
        <v>Error?</v>
      </c>
    </row>
    <row r="1153" spans="1:4" x14ac:dyDescent="0.2">
      <c r="A1153" s="5">
        <v>1092</v>
      </c>
      <c r="B1153" s="1832">
        <f>'Expenditures 15-22'!K115</f>
        <v>105097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60163</v>
      </c>
      <c r="D1221" s="2" t="str">
        <f t="shared" si="18"/>
        <v>Error?</v>
      </c>
    </row>
    <row r="1222" spans="1:4" x14ac:dyDescent="0.2">
      <c r="A1222" s="10">
        <v>1161</v>
      </c>
      <c r="B1222" s="1832"/>
      <c r="D1222" s="2" t="str">
        <f t="shared" si="18"/>
        <v>OK</v>
      </c>
    </row>
    <row r="1223" spans="1:4" x14ac:dyDescent="0.2">
      <c r="A1223" s="5">
        <v>1162</v>
      </c>
      <c r="B1223" s="1832">
        <f>'Expenditures 15-22'!C127</f>
        <v>60163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60163</v>
      </c>
      <c r="C1225" s="2" t="s">
        <v>569</v>
      </c>
      <c r="D1225" s="2" t="str">
        <f t="shared" si="18"/>
        <v>Error?</v>
      </c>
    </row>
    <row r="1226" spans="1:4" x14ac:dyDescent="0.2">
      <c r="A1226" s="5">
        <v>1165</v>
      </c>
      <c r="B1226" s="1832">
        <f>'Expenditures 15-22'!C151</f>
        <v>60163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28853</v>
      </c>
      <c r="D1229" s="2" t="str">
        <f t="shared" si="18"/>
        <v>Error?</v>
      </c>
    </row>
    <row r="1230" spans="1:4" x14ac:dyDescent="0.2">
      <c r="A1230" s="10">
        <v>1169</v>
      </c>
      <c r="B1230" s="1832"/>
      <c r="D1230" s="2" t="str">
        <f t="shared" si="18"/>
        <v>OK</v>
      </c>
    </row>
    <row r="1231" spans="1:4" x14ac:dyDescent="0.2">
      <c r="A1231" s="5">
        <v>1170</v>
      </c>
      <c r="B1231" s="1832">
        <f>'Expenditures 15-22'!D127</f>
        <v>28853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28853</v>
      </c>
      <c r="C1233" s="2" t="s">
        <v>569</v>
      </c>
      <c r="D1233" s="2" t="str">
        <f t="shared" si="18"/>
        <v>Error?</v>
      </c>
    </row>
    <row r="1234" spans="1:4" x14ac:dyDescent="0.2">
      <c r="A1234" s="5">
        <v>1173</v>
      </c>
      <c r="B1234" s="1832">
        <f>'Expenditures 15-22'!D151</f>
        <v>28853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104761</v>
      </c>
      <c r="D1237" s="2" t="str">
        <f t="shared" si="18"/>
        <v>Error?</v>
      </c>
    </row>
    <row r="1238" spans="1:4" x14ac:dyDescent="0.2">
      <c r="A1238" s="10">
        <v>1177</v>
      </c>
      <c r="B1238" s="1832"/>
      <c r="D1238" s="2" t="str">
        <f t="shared" si="18"/>
        <v>OK</v>
      </c>
    </row>
    <row r="1239" spans="1:4" x14ac:dyDescent="0.2">
      <c r="A1239" s="5">
        <v>1178</v>
      </c>
      <c r="B1239" s="1832">
        <f>'Expenditures 15-22'!E127</f>
        <v>104761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104761</v>
      </c>
      <c r="C1241" s="2" t="s">
        <v>569</v>
      </c>
      <c r="D1241" s="2" t="str">
        <f t="shared" si="18"/>
        <v>Error?</v>
      </c>
    </row>
    <row r="1242" spans="1:4" x14ac:dyDescent="0.2">
      <c r="A1242" s="5">
        <v>1181</v>
      </c>
      <c r="B1242" s="1832">
        <f>'Expenditures 15-22'!E151</f>
        <v>104761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56306</v>
      </c>
      <c r="D1245" s="2" t="str">
        <f t="shared" si="18"/>
        <v>Error?</v>
      </c>
    </row>
    <row r="1246" spans="1:4" x14ac:dyDescent="0.2">
      <c r="A1246" s="10">
        <v>1185</v>
      </c>
      <c r="B1246" s="1832"/>
      <c r="D1246" s="2" t="str">
        <f t="shared" si="18"/>
        <v>OK</v>
      </c>
    </row>
    <row r="1247" spans="1:4" x14ac:dyDescent="0.2">
      <c r="A1247" s="5">
        <v>1186</v>
      </c>
      <c r="B1247" s="1832">
        <f>'Expenditures 15-22'!F127</f>
        <v>56306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56306</v>
      </c>
      <c r="C1249" s="2" t="s">
        <v>569</v>
      </c>
      <c r="D1249" s="2" t="str">
        <f t="shared" si="18"/>
        <v>Error?</v>
      </c>
    </row>
    <row r="1250" spans="1:4" x14ac:dyDescent="0.2">
      <c r="A1250" s="5">
        <v>1189</v>
      </c>
      <c r="B1250" s="1832">
        <f>'Expenditures 15-22'!F151</f>
        <v>56306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23335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23335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23335</v>
      </c>
      <c r="C1258" s="2" t="s">
        <v>569</v>
      </c>
      <c r="D1258" s="2" t="str">
        <f t="shared" si="18"/>
        <v>Error?</v>
      </c>
    </row>
    <row r="1259" spans="1:4" x14ac:dyDescent="0.2">
      <c r="A1259" s="5">
        <v>1198</v>
      </c>
      <c r="B1259" s="1832">
        <f>'Expenditures 15-22'!G151</f>
        <v>23335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11389</v>
      </c>
      <c r="C1272" s="2" t="s">
        <v>569</v>
      </c>
      <c r="D1272" s="2" t="str">
        <f t="shared" si="18"/>
        <v>Error?</v>
      </c>
    </row>
    <row r="1273" spans="1:4" x14ac:dyDescent="0.2">
      <c r="A1273" s="5">
        <v>1212</v>
      </c>
      <c r="B1273" s="1832">
        <f>'Expenditures 15-22'!H151</f>
        <v>11389</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273418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273418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273418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11389</v>
      </c>
      <c r="C1287" s="2" t="s">
        <v>569</v>
      </c>
      <c r="D1287" s="2" t="str">
        <f t="shared" si="19"/>
        <v>Error?</v>
      </c>
    </row>
    <row r="1288" spans="1:4" x14ac:dyDescent="0.2">
      <c r="A1288" s="5">
        <v>1227</v>
      </c>
      <c r="B1288" s="1832">
        <f>'Expenditures 15-22'!K151</f>
        <v>284807</v>
      </c>
      <c r="C1288" s="2" t="s">
        <v>569</v>
      </c>
      <c r="D1288" s="2" t="str">
        <f t="shared" si="19"/>
        <v>Error?</v>
      </c>
    </row>
    <row r="1289" spans="1:4" x14ac:dyDescent="0.2">
      <c r="A1289" s="5">
        <v>1228</v>
      </c>
      <c r="B1289" s="1832">
        <f>'Expenditures 15-22'!K152</f>
        <v>464217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53121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355000</v>
      </c>
      <c r="D1315" s="2" t="str">
        <f t="shared" si="19"/>
        <v>Error?</v>
      </c>
    </row>
    <row r="1316" spans="1:4" x14ac:dyDescent="0.2">
      <c r="A1316" s="5">
        <v>1255</v>
      </c>
      <c r="B1316" s="1832">
        <f>'Expenditures 15-22'!H171</f>
        <v>2000</v>
      </c>
      <c r="D1316" s="2" t="str">
        <f t="shared" si="19"/>
        <v>Error?</v>
      </c>
    </row>
    <row r="1317" spans="1:4" x14ac:dyDescent="0.2">
      <c r="A1317" s="5">
        <v>1256</v>
      </c>
      <c r="B1317" s="1832">
        <f>'Expenditures 15-22'!H172</f>
        <v>410121</v>
      </c>
      <c r="C1317" s="2" t="s">
        <v>569</v>
      </c>
      <c r="D1317" s="2" t="str">
        <f t="shared" si="19"/>
        <v>Error?</v>
      </c>
    </row>
    <row r="1318" spans="1:4" x14ac:dyDescent="0.2">
      <c r="A1318" s="5">
        <v>1257</v>
      </c>
      <c r="B1318" s="1832">
        <f>'Expenditures 15-22'!H174</f>
        <v>410121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53121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355000</v>
      </c>
      <c r="C1329" s="2" t="s">
        <v>569</v>
      </c>
      <c r="D1329" s="2" t="str">
        <f t="shared" si="19"/>
        <v>Error?</v>
      </c>
    </row>
    <row r="1330" spans="1:4" x14ac:dyDescent="0.2">
      <c r="A1330" s="5">
        <v>1269</v>
      </c>
      <c r="B1330" s="1832">
        <f>'Expenditures 15-22'!K171</f>
        <v>2000</v>
      </c>
      <c r="C1330" s="2" t="s">
        <v>569</v>
      </c>
      <c r="D1330" s="2" t="str">
        <f t="shared" si="19"/>
        <v>Error?</v>
      </c>
    </row>
    <row r="1331" spans="1:4" x14ac:dyDescent="0.2">
      <c r="A1331" s="5">
        <v>1270</v>
      </c>
      <c r="B1331" s="1832">
        <f>'Expenditures 15-22'!K172</f>
        <v>410121</v>
      </c>
      <c r="C1331" s="2" t="s">
        <v>569</v>
      </c>
      <c r="D1331" s="2" t="str">
        <f t="shared" si="19"/>
        <v>Error?</v>
      </c>
    </row>
    <row r="1332" spans="1:4" x14ac:dyDescent="0.2">
      <c r="A1332" s="5">
        <v>1271</v>
      </c>
      <c r="B1332" s="1832">
        <f>'Expenditures 15-22'!K174</f>
        <v>410121</v>
      </c>
      <c r="C1332" s="2" t="s">
        <v>569</v>
      </c>
      <c r="D1332" s="2" t="str">
        <f t="shared" si="19"/>
        <v>Error?</v>
      </c>
    </row>
    <row r="1333" spans="1:4" x14ac:dyDescent="0.2">
      <c r="A1333" s="5">
        <v>1272</v>
      </c>
      <c r="B1333" s="1832">
        <f>'Expenditures 15-22'!K175</f>
        <v>-348701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146131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146131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146131</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146131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146131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146131</v>
      </c>
      <c r="C1388" s="2" t="s">
        <v>569</v>
      </c>
      <c r="D1388" s="2" t="str">
        <f t="shared" si="20"/>
        <v>Error?</v>
      </c>
    </row>
    <row r="1389" spans="1:4" x14ac:dyDescent="0.2">
      <c r="A1389" s="5">
        <v>1328</v>
      </c>
      <c r="B1389" s="1832">
        <f>'Expenditures 15-22'!K211</f>
        <v>56257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723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19231</v>
      </c>
      <c r="C1410" s="2" t="s">
        <v>569</v>
      </c>
      <c r="D1410" s="2" t="str">
        <f t="shared" si="21"/>
        <v>Error?</v>
      </c>
    </row>
    <row r="1411" spans="1:4" x14ac:dyDescent="0.2">
      <c r="A1411" s="5">
        <v>1350</v>
      </c>
      <c r="B1411" s="1832">
        <f>'Expenditures 15-22'!D232</f>
        <v>161</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161</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119</v>
      </c>
      <c r="D1422" s="2" t="str">
        <f t="shared" si="21"/>
        <v>Error?</v>
      </c>
    </row>
    <row r="1423" spans="1:4" x14ac:dyDescent="0.2">
      <c r="A1423" s="5">
        <v>1362</v>
      </c>
      <c r="B1423" s="1832">
        <f>'Expenditures 15-22'!D246</f>
        <v>7674</v>
      </c>
      <c r="D1423" s="2" t="str">
        <f t="shared" si="21"/>
        <v>Error?</v>
      </c>
    </row>
    <row r="1424" spans="1:4" x14ac:dyDescent="0.2">
      <c r="A1424" s="5">
        <v>1363</v>
      </c>
      <c r="B1424" s="1832">
        <f>'Expenditures 15-22'!D257</f>
        <v>7793</v>
      </c>
      <c r="C1424" s="2" t="s">
        <v>569</v>
      </c>
      <c r="D1424" s="2" t="str">
        <f t="shared" si="21"/>
        <v>Error?</v>
      </c>
    </row>
    <row r="1425" spans="1:4" x14ac:dyDescent="0.2">
      <c r="A1425" s="5">
        <v>1364</v>
      </c>
      <c r="B1425" s="1832">
        <f>'Expenditures 15-22'!D259</f>
        <v>4677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4677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9032</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9032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21663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40894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723</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19231</v>
      </c>
      <c r="C1474" s="2" t="s">
        <v>569</v>
      </c>
      <c r="D1474" s="2" t="str">
        <f t="shared" si="22"/>
        <v>Error?</v>
      </c>
    </row>
    <row r="1475" spans="1:4" x14ac:dyDescent="0.2">
      <c r="A1475" s="5">
        <v>1414</v>
      </c>
      <c r="B1475" s="1832">
        <f>'Expenditures 15-22'!K232</f>
        <v>161</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161</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119</v>
      </c>
      <c r="C1486" s="2" t="s">
        <v>569</v>
      </c>
      <c r="D1486" s="2" t="str">
        <f t="shared" si="22"/>
        <v>Error?</v>
      </c>
    </row>
    <row r="1487" spans="1:4" x14ac:dyDescent="0.2">
      <c r="A1487" s="5">
        <v>1426</v>
      </c>
      <c r="B1487" s="1832">
        <f>'Expenditures 15-22'!K246</f>
        <v>7674</v>
      </c>
      <c r="C1487" s="2" t="s">
        <v>569</v>
      </c>
      <c r="D1487" s="2" t="str">
        <f t="shared" si="22"/>
        <v>Error?</v>
      </c>
    </row>
    <row r="1488" spans="1:4" x14ac:dyDescent="0.2">
      <c r="A1488" s="5">
        <v>1427</v>
      </c>
      <c r="B1488" s="1832">
        <f>'Expenditures 15-22'!K257</f>
        <v>7793</v>
      </c>
      <c r="C1488" s="2" t="s">
        <v>569</v>
      </c>
      <c r="D1488" s="2" t="str">
        <f t="shared" si="22"/>
        <v>Error?</v>
      </c>
    </row>
    <row r="1489" spans="1:4" x14ac:dyDescent="0.2">
      <c r="A1489" s="5">
        <v>1428</v>
      </c>
      <c r="B1489" s="1832">
        <f>'Expenditures 15-22'!K259</f>
        <v>4677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4677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9032</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9032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21663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40894</v>
      </c>
      <c r="C1517" s="2" t="s">
        <v>569</v>
      </c>
      <c r="D1517" s="2" t="str">
        <f t="shared" si="22"/>
        <v>Error?</v>
      </c>
    </row>
    <row r="1518" spans="1:4" x14ac:dyDescent="0.2">
      <c r="A1518" s="5">
        <v>1457</v>
      </c>
      <c r="B1518" s="1832">
        <f>'Expenditures 15-22'!K296</f>
        <v>4191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2721405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2895012</v>
      </c>
      <c r="C1630" s="2" t="s">
        <v>569</v>
      </c>
      <c r="D1630" s="2" t="str">
        <f t="shared" si="24"/>
        <v>Error?</v>
      </c>
    </row>
    <row r="1631" spans="1:4" x14ac:dyDescent="0.2">
      <c r="A1631" s="5">
        <v>1570</v>
      </c>
      <c r="B1631" s="1832">
        <f>'Acct Summary 7-8'!D79</f>
        <v>669729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886865</v>
      </c>
      <c r="C1644" s="2" t="s">
        <v>569</v>
      </c>
      <c r="D1644" s="2" t="str">
        <f t="shared" si="24"/>
        <v>Error?</v>
      </c>
    </row>
    <row r="1645" spans="1:4" x14ac:dyDescent="0.2">
      <c r="A1645" s="5">
        <v>1584</v>
      </c>
      <c r="B1645" s="1832">
        <f>'Acct Summary 7-8'!E79</f>
        <v>234199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247579</v>
      </c>
      <c r="C1658" s="2" t="s">
        <v>569</v>
      </c>
      <c r="D1658" s="2" t="str">
        <f t="shared" si="24"/>
        <v>Error?</v>
      </c>
    </row>
    <row r="1659" spans="1:4" x14ac:dyDescent="0.2">
      <c r="A1659" s="5">
        <v>1598</v>
      </c>
      <c r="B1659" s="1832">
        <f>'Acct Summary 7-8'!F79</f>
        <v>227846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169103</v>
      </c>
      <c r="C1672" s="2" t="s">
        <v>569</v>
      </c>
      <c r="D1672" s="2" t="str">
        <f t="shared" si="25"/>
        <v>Error?</v>
      </c>
    </row>
    <row r="1673" spans="1:4" x14ac:dyDescent="0.2">
      <c r="A1673" s="5">
        <v>1612</v>
      </c>
      <c r="B1673" s="1832">
        <f>'Acct Summary 7-8'!G79</f>
        <v>66228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70419</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1084216</v>
      </c>
      <c r="C1744" s="2" t="s">
        <v>569</v>
      </c>
      <c r="D1744" s="2" t="str">
        <f t="shared" si="26"/>
        <v>Error?</v>
      </c>
    </row>
    <row r="1745" spans="1:5" x14ac:dyDescent="0.2">
      <c r="A1745" s="5">
        <v>1684</v>
      </c>
      <c r="B1745" s="1832">
        <f>'Tax Sched 23'!B5</f>
        <v>294624</v>
      </c>
      <c r="C1745" s="2" t="s">
        <v>569</v>
      </c>
      <c r="D1745" s="2" t="str">
        <f t="shared" si="26"/>
        <v>Error?</v>
      </c>
    </row>
    <row r="1746" spans="1:5" x14ac:dyDescent="0.2">
      <c r="A1746" s="5">
        <v>1685</v>
      </c>
      <c r="B1746" s="1832">
        <f>'Tax Sched 23'!B6</f>
        <v>60890</v>
      </c>
      <c r="C1746" s="2" t="s">
        <v>569</v>
      </c>
      <c r="D1746" s="2" t="str">
        <f t="shared" si="26"/>
        <v>Error?</v>
      </c>
    </row>
    <row r="1747" spans="1:5" x14ac:dyDescent="0.2">
      <c r="A1747" s="5">
        <v>1686</v>
      </c>
      <c r="B1747" s="1832">
        <f>'Tax Sched 23'!B7</f>
        <v>141419</v>
      </c>
      <c r="C1747" s="2" t="s">
        <v>569</v>
      </c>
      <c r="D1747" s="2" t="str">
        <f t="shared" si="26"/>
        <v>Error?</v>
      </c>
    </row>
    <row r="1748" spans="1:5" x14ac:dyDescent="0.2">
      <c r="A1748" s="5">
        <v>1687</v>
      </c>
      <c r="B1748" s="1832">
        <f>'Tax Sched 23'!B8</f>
        <v>19966</v>
      </c>
      <c r="C1748" s="2" t="s">
        <v>569</v>
      </c>
      <c r="D1748" s="2" t="str">
        <f t="shared" si="26"/>
        <v>Error?</v>
      </c>
    </row>
    <row r="1749" spans="1:5" x14ac:dyDescent="0.2">
      <c r="A1749" s="5">
        <v>1688</v>
      </c>
      <c r="B1749" s="1832">
        <f>'Tax Sched 23'!B10</f>
        <v>58925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89825</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23570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1813367</v>
      </c>
      <c r="C1759" s="2" t="s">
        <v>569</v>
      </c>
      <c r="D1759" s="2" t="str">
        <f t="shared" si="26"/>
        <v>Error?</v>
      </c>
    </row>
    <row r="1760" spans="1:5" x14ac:dyDescent="0.2">
      <c r="A1760" s="5">
        <v>1699</v>
      </c>
      <c r="B1760" s="1832">
        <f>'Tax Sched 23'!D4</f>
        <v>1084216</v>
      </c>
      <c r="C1760" s="2" t="s">
        <v>569</v>
      </c>
      <c r="D1760" s="2" t="str">
        <f t="shared" si="26"/>
        <v>Error?</v>
      </c>
    </row>
    <row r="1761" spans="1:7" x14ac:dyDescent="0.2">
      <c r="A1761" s="5">
        <v>1700</v>
      </c>
      <c r="B1761" s="1832">
        <f>'Tax Sched 23'!D5</f>
        <v>294624</v>
      </c>
      <c r="C1761" s="2" t="s">
        <v>569</v>
      </c>
      <c r="D1761" s="2" t="str">
        <f t="shared" si="26"/>
        <v>Error?</v>
      </c>
    </row>
    <row r="1762" spans="1:7" s="8" customFormat="1" x14ac:dyDescent="0.2">
      <c r="A1762" s="5">
        <v>1701</v>
      </c>
      <c r="B1762" s="1832">
        <f>'Tax Sched 23'!D6</f>
        <v>60890</v>
      </c>
      <c r="C1762" s="2" t="s">
        <v>569</v>
      </c>
      <c r="D1762" s="2" t="str">
        <f t="shared" si="26"/>
        <v>Error?</v>
      </c>
      <c r="E1762" s="9"/>
      <c r="G1762"/>
    </row>
    <row r="1763" spans="1:7" x14ac:dyDescent="0.2">
      <c r="A1763" s="5">
        <v>1702</v>
      </c>
      <c r="B1763" s="1832">
        <f>'Tax Sched 23'!D7</f>
        <v>141419</v>
      </c>
      <c r="C1763" s="2" t="s">
        <v>569</v>
      </c>
      <c r="D1763" s="2" t="str">
        <f t="shared" si="26"/>
        <v>Error?</v>
      </c>
    </row>
    <row r="1764" spans="1:7" x14ac:dyDescent="0.2">
      <c r="A1764" s="5">
        <v>1703</v>
      </c>
      <c r="B1764" s="1832">
        <f>'Tax Sched 23'!D8</f>
        <v>19966</v>
      </c>
      <c r="C1764" s="2" t="s">
        <v>569</v>
      </c>
      <c r="D1764" s="2" t="str">
        <f t="shared" si="26"/>
        <v>Error?</v>
      </c>
    </row>
    <row r="1765" spans="1:7" x14ac:dyDescent="0.2">
      <c r="A1765" s="5">
        <v>1704</v>
      </c>
      <c r="B1765" s="1832">
        <f>'Tax Sched 23'!D10</f>
        <v>58925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89825</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23570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1813367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1170174</v>
      </c>
      <c r="C1792" s="2" t="s">
        <v>569</v>
      </c>
      <c r="D1792" s="2" t="str">
        <f t="shared" si="27"/>
        <v>Error?</v>
      </c>
    </row>
    <row r="1793" spans="1:4" x14ac:dyDescent="0.2">
      <c r="A1793" s="5">
        <v>1732</v>
      </c>
      <c r="B1793" s="1832">
        <f>'Tax Sched 23'!F5</f>
        <v>317982</v>
      </c>
      <c r="C1793" s="2" t="s">
        <v>569</v>
      </c>
      <c r="D1793" s="2" t="str">
        <f t="shared" si="27"/>
        <v>Error?</v>
      </c>
    </row>
    <row r="1794" spans="1:4" x14ac:dyDescent="0.2">
      <c r="A1794" s="5">
        <v>1733</v>
      </c>
      <c r="B1794" s="1832">
        <f>'Tax Sched 23'!F6</f>
        <v>59959</v>
      </c>
      <c r="C1794" s="2" t="s">
        <v>569</v>
      </c>
      <c r="D1794" s="2" t="str">
        <f t="shared" si="27"/>
        <v>Error?</v>
      </c>
    </row>
    <row r="1795" spans="1:4" x14ac:dyDescent="0.2">
      <c r="A1795" s="5">
        <v>1734</v>
      </c>
      <c r="B1795" s="1832">
        <f>'Tax Sched 23'!F7</f>
        <v>152631</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63596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80004</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25439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1912306</v>
      </c>
      <c r="C1807" s="2" t="s">
        <v>569</v>
      </c>
      <c r="D1807" s="2" t="str">
        <f t="shared" si="27"/>
        <v>Error?</v>
      </c>
    </row>
    <row r="1808" spans="1:4" x14ac:dyDescent="0.2">
      <c r="A1808" s="5">
        <v>1747</v>
      </c>
      <c r="B1808" s="1832">
        <f>'Tax Sched 23'!E4</f>
        <v>1170174</v>
      </c>
      <c r="D1808" s="2" t="str">
        <f t="shared" si="27"/>
        <v>Error?</v>
      </c>
    </row>
    <row r="1809" spans="1:4" x14ac:dyDescent="0.2">
      <c r="A1809" s="5">
        <v>1748</v>
      </c>
      <c r="B1809" s="1832">
        <f>'Tax Sched 23'!E5</f>
        <v>317982</v>
      </c>
      <c r="D1809" s="2" t="str">
        <f t="shared" si="27"/>
        <v>Error?</v>
      </c>
    </row>
    <row r="1810" spans="1:4" x14ac:dyDescent="0.2">
      <c r="A1810" s="5">
        <v>1749</v>
      </c>
      <c r="B1810" s="1832">
        <f>'Tax Sched 23'!E6</f>
        <v>59959</v>
      </c>
      <c r="D1810" s="2" t="str">
        <f t="shared" si="27"/>
        <v>Error?</v>
      </c>
    </row>
    <row r="1811" spans="1:4" x14ac:dyDescent="0.2">
      <c r="A1811" s="5">
        <v>1750</v>
      </c>
      <c r="B1811" s="1832">
        <f>'Tax Sched 23'!E7</f>
        <v>152631</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63596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80004</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25439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1912306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2005000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23570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23570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23570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115450</v>
      </c>
      <c r="D2008" s="2" t="str">
        <f t="shared" si="30"/>
        <v>Error?</v>
      </c>
    </row>
    <row r="2009" spans="1:4" x14ac:dyDescent="0.2">
      <c r="A2009" s="5">
        <v>1948</v>
      </c>
      <c r="B2009" s="1832">
        <f>'Cap Outlay Deprec 26'!C8</f>
        <v>7206611</v>
      </c>
      <c r="D2009" s="2" t="str">
        <f t="shared" si="30"/>
        <v>Error?</v>
      </c>
    </row>
    <row r="2010" spans="1:4" x14ac:dyDescent="0.2">
      <c r="A2010" s="5">
        <v>1949</v>
      </c>
      <c r="B2010" s="1832">
        <f>'Cap Outlay Deprec 26'!C10</f>
        <v>317889</v>
      </c>
      <c r="D2010" s="2" t="str">
        <f t="shared" si="30"/>
        <v>Error?</v>
      </c>
    </row>
    <row r="2011" spans="1:4" x14ac:dyDescent="0.2">
      <c r="A2011" s="5">
        <v>1950</v>
      </c>
      <c r="B2011" s="1832">
        <f>'Cap Outlay Deprec 26'!C12</f>
        <v>626870</v>
      </c>
      <c r="D2011" s="2" t="str">
        <f t="shared" si="30"/>
        <v>Error?</v>
      </c>
    </row>
    <row r="2012" spans="1:4" x14ac:dyDescent="0.2">
      <c r="A2012" s="5">
        <v>1951</v>
      </c>
      <c r="B2012" s="1832">
        <f>'Cap Outlay Deprec 26'!C13</f>
        <v>63010</v>
      </c>
      <c r="D2012" s="2" t="str">
        <f t="shared" si="30"/>
        <v>Error?</v>
      </c>
    </row>
    <row r="2013" spans="1:4" x14ac:dyDescent="0.2">
      <c r="A2013" s="5">
        <v>1952</v>
      </c>
      <c r="B2013" s="1832">
        <f>'Cap Outlay Deprec 26'!C16</f>
        <v>8331058</v>
      </c>
      <c r="C2013" s="2" t="s">
        <v>569</v>
      </c>
      <c r="D2013" s="2" t="str">
        <f t="shared" si="30"/>
        <v>Error?</v>
      </c>
    </row>
    <row r="2014" spans="1:4" x14ac:dyDescent="0.2">
      <c r="A2014" s="5">
        <v>1953</v>
      </c>
      <c r="B2014" s="1832">
        <f>'Cap Outlay Deprec 26'!D5</f>
        <v>5000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16335</v>
      </c>
      <c r="D2016" s="2" t="str">
        <f t="shared" si="30"/>
        <v>Error?</v>
      </c>
    </row>
    <row r="2017" spans="1:4" x14ac:dyDescent="0.2">
      <c r="A2017" s="5">
        <v>1956</v>
      </c>
      <c r="B2017" s="1832">
        <f>'Cap Outlay Deprec 26'!D12</f>
        <v>2000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23335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120450</v>
      </c>
      <c r="C2026" s="2" t="s">
        <v>569</v>
      </c>
      <c r="D2026" s="2" t="str">
        <f t="shared" si="30"/>
        <v>Error?</v>
      </c>
    </row>
    <row r="2027" spans="1:4" x14ac:dyDescent="0.2">
      <c r="A2027" s="5">
        <v>1966</v>
      </c>
      <c r="B2027" s="1832">
        <f>'Cap Outlay Deprec 26'!F8</f>
        <v>7206611</v>
      </c>
      <c r="C2027" s="2" t="s">
        <v>569</v>
      </c>
      <c r="D2027" s="2" t="str">
        <f t="shared" si="30"/>
        <v>Error?</v>
      </c>
    </row>
    <row r="2028" spans="1:4" x14ac:dyDescent="0.2">
      <c r="A2028" s="5">
        <v>1967</v>
      </c>
      <c r="B2028" s="1832">
        <f>'Cap Outlay Deprec 26'!F10</f>
        <v>334224</v>
      </c>
      <c r="C2028" s="2" t="s">
        <v>569</v>
      </c>
      <c r="D2028" s="2" t="str">
        <f t="shared" si="30"/>
        <v>Error?</v>
      </c>
    </row>
    <row r="2029" spans="1:4" x14ac:dyDescent="0.2">
      <c r="A2029" s="5">
        <v>1968</v>
      </c>
      <c r="B2029" s="1832">
        <f>'Cap Outlay Deprec 26'!F12</f>
        <v>628870</v>
      </c>
      <c r="C2029" s="2" t="s">
        <v>569</v>
      </c>
      <c r="D2029" s="2" t="str">
        <f t="shared" si="30"/>
        <v>Error?</v>
      </c>
    </row>
    <row r="2030" spans="1:4" x14ac:dyDescent="0.2">
      <c r="A2030" s="5">
        <v>1969</v>
      </c>
      <c r="B2030" s="1832">
        <f>'Cap Outlay Deprec 26'!F13</f>
        <v>63010</v>
      </c>
      <c r="C2030" s="2" t="s">
        <v>569</v>
      </c>
      <c r="D2030" s="2" t="str">
        <f t="shared" si="30"/>
        <v>Error?</v>
      </c>
    </row>
    <row r="2031" spans="1:4" x14ac:dyDescent="0.2">
      <c r="A2031" s="5">
        <v>1970</v>
      </c>
      <c r="B2031" s="1832">
        <f>'Cap Outlay Deprec 26'!F16</f>
        <v>8354393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1869210</v>
      </c>
      <c r="D2033" s="2" t="str">
        <f t="shared" si="30"/>
        <v>Error?</v>
      </c>
    </row>
    <row r="2034" spans="1:4" x14ac:dyDescent="0.2">
      <c r="A2034" s="5">
        <v>1973</v>
      </c>
      <c r="B2034" s="1832">
        <f>'Cap Outlay Deprec 26'!H10</f>
        <v>201717</v>
      </c>
      <c r="D2034" s="2" t="str">
        <f t="shared" si="30"/>
        <v>Error?</v>
      </c>
    </row>
    <row r="2035" spans="1:4" x14ac:dyDescent="0.2">
      <c r="A2035" s="5">
        <v>1974</v>
      </c>
      <c r="B2035" s="1832">
        <f>'Cap Outlay Deprec 26'!H12</f>
        <v>583564</v>
      </c>
      <c r="D2035" s="2" t="str">
        <f t="shared" si="30"/>
        <v>Error?</v>
      </c>
    </row>
    <row r="2036" spans="1:4" x14ac:dyDescent="0.2">
      <c r="A2036" s="5">
        <v>1975</v>
      </c>
      <c r="B2036" s="1832">
        <f>'Cap Outlay Deprec 26'!H13</f>
        <v>51086</v>
      </c>
      <c r="D2036" s="2" t="str">
        <f t="shared" si="30"/>
        <v>Error?</v>
      </c>
    </row>
    <row r="2037" spans="1:4" x14ac:dyDescent="0.2">
      <c r="A2037" s="5">
        <v>1976</v>
      </c>
      <c r="B2037" s="1832">
        <f>'Cap Outlay Deprec 26'!H16</f>
        <v>2706805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149221</v>
      </c>
      <c r="D2039" s="2" t="str">
        <f t="shared" si="30"/>
        <v>Error?</v>
      </c>
    </row>
    <row r="2040" spans="1:4" x14ac:dyDescent="0.2">
      <c r="A2040" s="5">
        <v>1979</v>
      </c>
      <c r="B2040" s="1832">
        <f>'Cap Outlay Deprec 26'!I10</f>
        <v>9265</v>
      </c>
      <c r="D2040" s="2" t="str">
        <f t="shared" si="30"/>
        <v>Error?</v>
      </c>
    </row>
    <row r="2041" spans="1:4" x14ac:dyDescent="0.2">
      <c r="A2041" s="5">
        <v>1980</v>
      </c>
      <c r="B2041" s="1832">
        <f>'Cap Outlay Deprec 26'!I12</f>
        <v>10758</v>
      </c>
      <c r="D2041" s="2" t="str">
        <f t="shared" si="30"/>
        <v>Error?</v>
      </c>
    </row>
    <row r="2042" spans="1:4" x14ac:dyDescent="0.2">
      <c r="A2042" s="5">
        <v>1981</v>
      </c>
      <c r="B2042" s="1832">
        <f>'Cap Outlay Deprec 26'!I13</f>
        <v>2626</v>
      </c>
      <c r="D2042" s="2" t="str">
        <f t="shared" si="30"/>
        <v>Error?</v>
      </c>
    </row>
    <row r="2043" spans="1:4" x14ac:dyDescent="0.2">
      <c r="A2043" s="5">
        <v>1982</v>
      </c>
      <c r="B2043" s="1832">
        <f>'Cap Outlay Deprec 26'!I16</f>
        <v>171870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2018431</v>
      </c>
      <c r="C2051" s="2" t="s">
        <v>569</v>
      </c>
      <c r="D2051" s="2" t="str">
        <f t="shared" si="31"/>
        <v>Error?</v>
      </c>
    </row>
    <row r="2052" spans="1:4" x14ac:dyDescent="0.2">
      <c r="A2052" s="5">
        <v>1991</v>
      </c>
      <c r="B2052" s="1832">
        <f>'Cap Outlay Deprec 26'!K10</f>
        <v>210982</v>
      </c>
      <c r="C2052" s="2" t="s">
        <v>569</v>
      </c>
      <c r="D2052" s="2" t="str">
        <f t="shared" si="31"/>
        <v>Error?</v>
      </c>
    </row>
    <row r="2053" spans="1:4" x14ac:dyDescent="0.2">
      <c r="A2053" s="5">
        <v>1992</v>
      </c>
      <c r="B2053" s="1832">
        <f>'Cap Outlay Deprec 26'!K12</f>
        <v>594322</v>
      </c>
      <c r="C2053" s="2" t="s">
        <v>569</v>
      </c>
      <c r="D2053" s="2" t="str">
        <f t="shared" si="31"/>
        <v>Error?</v>
      </c>
    </row>
    <row r="2054" spans="1:4" x14ac:dyDescent="0.2">
      <c r="A2054" s="5">
        <v>1993</v>
      </c>
      <c r="B2054" s="1832">
        <f>'Cap Outlay Deprec 26'!K13</f>
        <v>53712</v>
      </c>
      <c r="C2054" s="2" t="s">
        <v>569</v>
      </c>
      <c r="D2054" s="2" t="str">
        <f t="shared" si="31"/>
        <v>Error?</v>
      </c>
    </row>
    <row r="2055" spans="1:4" x14ac:dyDescent="0.2">
      <c r="A2055" s="5">
        <v>1994</v>
      </c>
      <c r="B2055" s="1832">
        <f>'Cap Outlay Deprec 26'!K16</f>
        <v>2878675</v>
      </c>
      <c r="C2055" s="2" t="s">
        <v>569</v>
      </c>
      <c r="D2055" s="2" t="str">
        <f t="shared" si="31"/>
        <v>Error?</v>
      </c>
    </row>
    <row r="2056" spans="1:4" x14ac:dyDescent="0.2">
      <c r="A2056" s="5">
        <v>1995</v>
      </c>
      <c r="B2056" s="1832">
        <f>'Cap Outlay Deprec 26'!L5</f>
        <v>120450</v>
      </c>
      <c r="C2056" s="2" t="s">
        <v>569</v>
      </c>
      <c r="D2056" s="2" t="str">
        <f t="shared" si="31"/>
        <v>Error?</v>
      </c>
    </row>
    <row r="2057" spans="1:4" x14ac:dyDescent="0.2">
      <c r="A2057" s="5">
        <v>1996</v>
      </c>
      <c r="B2057" s="1832">
        <f>'Cap Outlay Deprec 26'!L8</f>
        <v>5188180</v>
      </c>
      <c r="C2057" s="2" t="s">
        <v>569</v>
      </c>
      <c r="D2057" s="2" t="str">
        <f t="shared" si="31"/>
        <v>Error?</v>
      </c>
    </row>
    <row r="2058" spans="1:4" x14ac:dyDescent="0.2">
      <c r="A2058" s="5">
        <v>1997</v>
      </c>
      <c r="B2058" s="1832">
        <f>'Cap Outlay Deprec 26'!L10</f>
        <v>123242</v>
      </c>
      <c r="C2058" s="2" t="s">
        <v>569</v>
      </c>
      <c r="D2058" s="2" t="str">
        <f t="shared" si="31"/>
        <v>Error?</v>
      </c>
    </row>
    <row r="2059" spans="1:4" x14ac:dyDescent="0.2">
      <c r="A2059" s="5">
        <v>1998</v>
      </c>
      <c r="B2059" s="1832">
        <f>'Cap Outlay Deprec 26'!L12</f>
        <v>34548</v>
      </c>
      <c r="C2059" s="2" t="s">
        <v>569</v>
      </c>
      <c r="D2059" s="2" t="str">
        <f t="shared" si="31"/>
        <v>Error?</v>
      </c>
    </row>
    <row r="2060" spans="1:4" x14ac:dyDescent="0.2">
      <c r="A2060" s="5">
        <v>1999</v>
      </c>
      <c r="B2060" s="1832">
        <f>'Cap Outlay Deprec 26'!L13</f>
        <v>9298</v>
      </c>
      <c r="C2060" s="2" t="s">
        <v>569</v>
      </c>
      <c r="D2060" s="2" t="str">
        <f t="shared" si="31"/>
        <v>Error?</v>
      </c>
    </row>
    <row r="2061" spans="1:4" x14ac:dyDescent="0.2">
      <c r="A2061" s="5">
        <v>2000</v>
      </c>
      <c r="B2061" s="1832">
        <f>'Cap Outlay Deprec 26'!L16</f>
        <v>5475718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62357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144569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59010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1297264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217894</v>
      </c>
      <c r="C2553" s="2" t="s">
        <v>569</v>
      </c>
      <c r="D2553" s="2" t="str">
        <f t="shared" si="38"/>
        <v>Error?</v>
      </c>
    </row>
    <row r="2554" spans="1:4" x14ac:dyDescent="0.2">
      <c r="A2554" s="5">
        <v>2493</v>
      </c>
      <c r="B2554" s="1832">
        <f>'Acct Summary 7-8'!C7</f>
        <v>116715</v>
      </c>
      <c r="C2554" s="2" t="s">
        <v>569</v>
      </c>
      <c r="D2554" s="2" t="str">
        <f t="shared" si="38"/>
        <v>Error?</v>
      </c>
    </row>
    <row r="2555" spans="1:4" x14ac:dyDescent="0.2">
      <c r="A2555" s="5">
        <v>2494</v>
      </c>
      <c r="B2555" s="1832">
        <f>'Acct Summary 7-8'!C8</f>
        <v>1631873</v>
      </c>
      <c r="C2555" s="2" t="s">
        <v>569</v>
      </c>
      <c r="D2555" s="2" t="str">
        <f t="shared" si="38"/>
        <v>Error?</v>
      </c>
    </row>
    <row r="2556" spans="1:4" x14ac:dyDescent="0.2">
      <c r="A2556" s="5">
        <v>2495</v>
      </c>
      <c r="B2556" s="1832">
        <f>'Acct Summary 7-8'!C12</f>
        <v>990000</v>
      </c>
      <c r="C2556" s="2" t="s">
        <v>569</v>
      </c>
      <c r="D2556" s="2" t="str">
        <f t="shared" si="38"/>
        <v>Error?</v>
      </c>
    </row>
    <row r="2557" spans="1:4" x14ac:dyDescent="0.2">
      <c r="A2557" s="5">
        <v>2496</v>
      </c>
      <c r="B2557" s="1832">
        <f>'Acct Summary 7-8'!C13</f>
        <v>391839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144569</v>
      </c>
      <c r="C2559" s="2" t="s">
        <v>569</v>
      </c>
      <c r="D2559" s="2" t="str">
        <f t="shared" ref="D2559:D2622" si="39">IF(ISBLANK(B2559),"OK",IF(A2559-B2559=0,"OK","Error?"))</f>
        <v>Error?</v>
      </c>
    </row>
    <row r="2560" spans="1:4" x14ac:dyDescent="0.2">
      <c r="A2560" s="5">
        <v>2499</v>
      </c>
      <c r="B2560" s="1832">
        <f>'Acct Summary 7-8'!C16</f>
        <v>368</v>
      </c>
      <c r="C2560" s="2" t="s">
        <v>569</v>
      </c>
      <c r="D2560" s="2" t="str">
        <f t="shared" si="39"/>
        <v>Error?</v>
      </c>
    </row>
    <row r="2561" spans="1:4" x14ac:dyDescent="0.2">
      <c r="A2561" s="5">
        <v>2500</v>
      </c>
      <c r="B2561" s="1832">
        <f>'Acct Summary 7-8'!C17</f>
        <v>1526776</v>
      </c>
      <c r="C2561" s="2" t="s">
        <v>569</v>
      </c>
      <c r="D2561" s="2" t="str">
        <f t="shared" si="39"/>
        <v>Error?</v>
      </c>
    </row>
    <row r="2562" spans="1:4" x14ac:dyDescent="0.2">
      <c r="A2562" s="5">
        <v>2501</v>
      </c>
      <c r="B2562" s="1832">
        <f>'Acct Summary 7-8'!C20</f>
        <v>105097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699024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749024</v>
      </c>
      <c r="C2568" s="2" t="s">
        <v>569</v>
      </c>
      <c r="D2568" s="2" t="str">
        <f t="shared" si="39"/>
        <v>Error?</v>
      </c>
    </row>
    <row r="2569" spans="1:4" x14ac:dyDescent="0.2">
      <c r="A2569" s="5">
        <v>2508</v>
      </c>
      <c r="B2569" s="1832">
        <f>'Acct Summary 7-8'!D13</f>
        <v>273418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11389</v>
      </c>
      <c r="C2572" s="2" t="s">
        <v>569</v>
      </c>
      <c r="D2572" s="2" t="str">
        <f t="shared" si="39"/>
        <v>Error?</v>
      </c>
    </row>
    <row r="2573" spans="1:4" x14ac:dyDescent="0.2">
      <c r="A2573" s="5">
        <v>2512</v>
      </c>
      <c r="B2573" s="1832">
        <f>'Acct Summary 7-8'!D17</f>
        <v>284807</v>
      </c>
      <c r="C2573" s="2" t="s">
        <v>569</v>
      </c>
      <c r="D2573" s="2" t="str">
        <f t="shared" si="39"/>
        <v>Error?</v>
      </c>
    </row>
    <row r="2574" spans="1:4" x14ac:dyDescent="0.2">
      <c r="A2574" s="5">
        <v>2513</v>
      </c>
      <c r="B2574" s="1832">
        <f>'Acct Summary 7-8'!D20</f>
        <v>464217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141958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60430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202388</v>
      </c>
      <c r="C2595" s="2" t="s">
        <v>569</v>
      </c>
      <c r="D2595" s="2" t="str">
        <f t="shared" si="39"/>
        <v>Error?</v>
      </c>
    </row>
    <row r="2596" spans="1:4" x14ac:dyDescent="0.2">
      <c r="A2596" s="5">
        <v>2535</v>
      </c>
      <c r="B2596" s="1832">
        <f>'Acct Summary 7-8'!F13</f>
        <v>146131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146131</v>
      </c>
      <c r="C2600" s="2" t="s">
        <v>569</v>
      </c>
      <c r="D2600" s="2" t="str">
        <f t="shared" si="39"/>
        <v>Error?</v>
      </c>
    </row>
    <row r="2601" spans="1:4" x14ac:dyDescent="0.2">
      <c r="A2601" s="5">
        <v>2540</v>
      </c>
      <c r="B2601" s="1832">
        <f>'Acct Summary 7-8'!F20</f>
        <v>56257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45085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45085</v>
      </c>
      <c r="C2606" s="2" t="s">
        <v>569</v>
      </c>
      <c r="D2606" s="2" t="str">
        <f t="shared" si="39"/>
        <v>Error?</v>
      </c>
    </row>
    <row r="2607" spans="1:4" x14ac:dyDescent="0.2">
      <c r="A2607" s="5">
        <v>2546</v>
      </c>
      <c r="B2607" s="1832">
        <f>'Acct Summary 7-8'!G12</f>
        <v>19231</v>
      </c>
      <c r="C2607" s="2" t="s">
        <v>569</v>
      </c>
      <c r="D2607" s="2" t="str">
        <f t="shared" si="39"/>
        <v>Error?</v>
      </c>
    </row>
    <row r="2608" spans="1:4" x14ac:dyDescent="0.2">
      <c r="A2608" s="5">
        <v>2547</v>
      </c>
      <c r="B2608" s="1832">
        <f>'Acct Summary 7-8'!G13</f>
        <v>21663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40894</v>
      </c>
      <c r="C2612" s="2" t="s">
        <v>569</v>
      </c>
      <c r="D2612" s="2" t="str">
        <f t="shared" si="39"/>
        <v>Error?</v>
      </c>
    </row>
    <row r="2613" spans="1:4" x14ac:dyDescent="0.2">
      <c r="A2613" s="5">
        <v>2552</v>
      </c>
      <c r="B2613" s="1832">
        <f>'Acct Summary 7-8'!G20</f>
        <v>4191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61420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61420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410121</v>
      </c>
      <c r="C2634" s="2" t="s">
        <v>569</v>
      </c>
      <c r="D2634" s="2" t="str">
        <f t="shared" si="40"/>
        <v>Error?</v>
      </c>
    </row>
    <row r="2635" spans="1:4" x14ac:dyDescent="0.2">
      <c r="A2635" s="5">
        <v>2574</v>
      </c>
      <c r="B2635" s="1832">
        <f>'Acct Summary 7-8'!E17</f>
        <v>410121</v>
      </c>
      <c r="C2635" s="2" t="s">
        <v>569</v>
      </c>
      <c r="D2635" s="2" t="str">
        <f t="shared" si="40"/>
        <v>Error?</v>
      </c>
    </row>
    <row r="2636" spans="1:4" x14ac:dyDescent="0.2">
      <c r="A2636" s="5">
        <v>2575</v>
      </c>
      <c r="B2636" s="1832">
        <f>'Acct Summary 7-8'!E20</f>
        <v>-348701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82212</v>
      </c>
      <c r="C2789" s="2" t="s">
        <v>569</v>
      </c>
      <c r="D2789" s="2" t="str">
        <f t="shared" si="42"/>
        <v>Error?</v>
      </c>
    </row>
    <row r="2790" spans="1:4" x14ac:dyDescent="0.2">
      <c r="A2790" s="5">
        <v>2729</v>
      </c>
      <c r="B2790" s="1832">
        <f>'Expenditures 15-22'!E102</f>
        <v>82212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64509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1973</v>
      </c>
      <c r="D2914" s="2" t="str">
        <f t="shared" si="44"/>
        <v>Error?</v>
      </c>
    </row>
    <row r="2915" spans="1:4" x14ac:dyDescent="0.2">
      <c r="A2915" s="10">
        <v>2854</v>
      </c>
      <c r="B2915" s="1832"/>
      <c r="D2915" s="2" t="str">
        <f t="shared" si="44"/>
        <v>OK</v>
      </c>
    </row>
    <row r="2916" spans="1:4" x14ac:dyDescent="0.2">
      <c r="A2916" s="5">
        <v>2855</v>
      </c>
      <c r="B2916" s="1832">
        <f>'Assets-Liab 5-6'!L34</f>
        <v>1973</v>
      </c>
      <c r="C2916" s="2" t="s">
        <v>569</v>
      </c>
      <c r="D2916" s="2" t="str">
        <f t="shared" si="44"/>
        <v>Error?</v>
      </c>
    </row>
    <row r="2917" spans="1:4" x14ac:dyDescent="0.2">
      <c r="A2917" s="5">
        <v>2856</v>
      </c>
      <c r="B2917" s="1832">
        <f>'Assets-Liab 5-6'!L41</f>
        <v>64509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82212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62357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144569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62536</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59010</v>
      </c>
      <c r="C3225" s="2" t="s">
        <v>569</v>
      </c>
      <c r="D3225" s="2" t="str">
        <f t="shared" si="49"/>
        <v>Error?</v>
      </c>
    </row>
    <row r="3226" spans="1:4" x14ac:dyDescent="0.2">
      <c r="A3226" s="5">
        <v>3165</v>
      </c>
      <c r="B3226" s="1832">
        <f>'Acct Summary 7-8'!I8</f>
        <v>59010</v>
      </c>
      <c r="C3226" s="2" t="s">
        <v>569</v>
      </c>
      <c r="D3226" s="2" t="str">
        <f t="shared" si="49"/>
        <v>Error?</v>
      </c>
    </row>
    <row r="3227" spans="1:4" x14ac:dyDescent="0.2">
      <c r="A3227" s="5">
        <v>3166</v>
      </c>
      <c r="B3227" s="1832">
        <f>'Acct Summary 7-8'!I20</f>
        <v>59010</v>
      </c>
      <c r="C3227" s="2" t="s">
        <v>569</v>
      </c>
      <c r="D3227" s="2" t="str">
        <f t="shared" si="49"/>
        <v>Error?</v>
      </c>
    </row>
    <row r="3228" spans="1:4" x14ac:dyDescent="0.2">
      <c r="A3228" s="5">
        <v>3167</v>
      </c>
      <c r="B3228" s="1832">
        <f>'Acct Summary 7-8'!C43</f>
        <v>29404</v>
      </c>
      <c r="D3228" s="2" t="str">
        <f t="shared" si="49"/>
        <v>Error?</v>
      </c>
    </row>
    <row r="3229" spans="1:4" x14ac:dyDescent="0.2">
      <c r="A3229" s="5">
        <v>3168</v>
      </c>
      <c r="B3229" s="1832">
        <f>'Acct Summary 7-8'!C44</f>
        <v>88414</v>
      </c>
      <c r="C3229" s="2" t="s">
        <v>569</v>
      </c>
      <c r="D3229" s="2" t="str">
        <f t="shared" si="49"/>
        <v>Error?</v>
      </c>
    </row>
    <row r="3230" spans="1:4" x14ac:dyDescent="0.2">
      <c r="A3230" s="5">
        <v>3169</v>
      </c>
      <c r="B3230" s="1832">
        <f>'Acct Summary 7-8'!C75</f>
        <v>19904</v>
      </c>
      <c r="D3230" s="2" t="str">
        <f t="shared" si="49"/>
        <v>Error?</v>
      </c>
    </row>
    <row r="3231" spans="1:4" x14ac:dyDescent="0.2">
      <c r="A3231" s="5">
        <v>3170</v>
      </c>
      <c r="B3231" s="1832">
        <f>'Acct Summary 7-8'!C76</f>
        <v>19904</v>
      </c>
      <c r="C3231" s="2" t="s">
        <v>569</v>
      </c>
      <c r="D3231" s="2" t="str">
        <f t="shared" si="49"/>
        <v>Error?</v>
      </c>
    </row>
    <row r="3232" spans="1:4" x14ac:dyDescent="0.2">
      <c r="A3232" s="5">
        <v>3171</v>
      </c>
      <c r="B3232" s="1832">
        <f>'Acct Summary 7-8'!C77</f>
        <v>68510</v>
      </c>
      <c r="C3232" s="2" t="s">
        <v>569</v>
      </c>
      <c r="D3232" s="2" t="str">
        <f t="shared" si="49"/>
        <v>Error?</v>
      </c>
    </row>
    <row r="3233" spans="1:4" x14ac:dyDescent="0.2">
      <c r="A3233" s="5">
        <v>3172</v>
      </c>
      <c r="B3233" s="1832">
        <f>'Acct Summary 7-8'!C78</f>
        <v>173607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115000</v>
      </c>
      <c r="C3235" s="2" t="s">
        <v>569</v>
      </c>
      <c r="D3235" s="2" t="str">
        <f t="shared" si="49"/>
        <v>Error?</v>
      </c>
    </row>
    <row r="3236" spans="1:4" x14ac:dyDescent="0.2">
      <c r="A3236" s="5">
        <v>3175</v>
      </c>
      <c r="B3236" s="1832">
        <f>'Acct Summary 7-8'!D75</f>
        <v>362081</v>
      </c>
      <c r="D3236" s="2" t="str">
        <f t="shared" si="49"/>
        <v>Error?</v>
      </c>
    </row>
    <row r="3237" spans="1:4" x14ac:dyDescent="0.2">
      <c r="A3237" s="5">
        <v>3176</v>
      </c>
      <c r="B3237" s="1832">
        <f>'Acct Summary 7-8'!D76</f>
        <v>362081</v>
      </c>
      <c r="C3237" s="2" t="s">
        <v>569</v>
      </c>
      <c r="D3237" s="2" t="str">
        <f t="shared" si="49"/>
        <v>Error?</v>
      </c>
    </row>
    <row r="3238" spans="1:4" x14ac:dyDescent="0.2">
      <c r="A3238" s="5">
        <v>3177</v>
      </c>
      <c r="B3238" s="1832">
        <f>'Acct Summary 7-8'!D77</f>
        <v>-247081</v>
      </c>
      <c r="C3238" s="2" t="s">
        <v>569</v>
      </c>
      <c r="D3238" s="2" t="str">
        <f t="shared" si="49"/>
        <v>Error?</v>
      </c>
    </row>
    <row r="3239" spans="1:4" x14ac:dyDescent="0.2">
      <c r="A3239" s="5">
        <v>3178</v>
      </c>
      <c r="B3239" s="1832">
        <f>'Acct Summary 7-8'!D78</f>
        <v>217136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115000</v>
      </c>
      <c r="C3254" s="2" t="s">
        <v>569</v>
      </c>
      <c r="D3254" s="2" t="str">
        <f t="shared" si="49"/>
        <v>Error?</v>
      </c>
    </row>
    <row r="3255" spans="1:4" x14ac:dyDescent="0.2">
      <c r="A3255" s="5">
        <v>3194</v>
      </c>
      <c r="B3255" s="1832">
        <f>'Acct Summary 7-8'!F77</f>
        <v>-115000</v>
      </c>
      <c r="C3255" s="2" t="s">
        <v>569</v>
      </c>
      <c r="D3255" s="2" t="str">
        <f t="shared" si="49"/>
        <v>Error?</v>
      </c>
    </row>
    <row r="3256" spans="1:4" x14ac:dyDescent="0.2">
      <c r="A3256" s="5">
        <v>3195</v>
      </c>
      <c r="B3256" s="1832">
        <f>'Acct Summary 7-8'!F78</f>
        <v>-58743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4191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362081</v>
      </c>
      <c r="D3273" s="2" t="str">
        <f t="shared" si="50"/>
        <v>Error?</v>
      </c>
    </row>
    <row r="3274" spans="1:4" x14ac:dyDescent="0.2">
      <c r="A3274" s="5">
        <v>3213</v>
      </c>
      <c r="B3274" s="1832">
        <f>'Acct Summary 7-8'!E44</f>
        <v>362081</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362081</v>
      </c>
      <c r="C3277" s="2" t="s">
        <v>569</v>
      </c>
      <c r="D3277" s="2" t="str">
        <f t="shared" si="50"/>
        <v>Error?</v>
      </c>
    </row>
    <row r="3278" spans="1:4" x14ac:dyDescent="0.2">
      <c r="A3278" s="5">
        <v>3217</v>
      </c>
      <c r="B3278" s="1832">
        <f>'Acct Summary 7-8'!E78</f>
        <v>13380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59010</v>
      </c>
      <c r="C3318" s="2" t="s">
        <v>569</v>
      </c>
      <c r="D3318" s="2" t="str">
        <f t="shared" si="50"/>
        <v>Error?</v>
      </c>
    </row>
    <row r="3319" spans="1:4" x14ac:dyDescent="0.2">
      <c r="A3319" s="5">
        <v>3258</v>
      </c>
      <c r="B3319" s="1832">
        <f>'Acct Summary 7-8'!I77</f>
        <v>-59010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56342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5766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364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726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63198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15501</v>
      </c>
      <c r="D3387" s="2" t="str">
        <f t="shared" si="51"/>
        <v>Error?</v>
      </c>
    </row>
    <row r="3388" spans="1:4" x14ac:dyDescent="0.2">
      <c r="A3388" s="5">
        <v>3327</v>
      </c>
      <c r="B3388" s="1832">
        <f>'Expenditures 15-22'!D217</f>
        <v>3007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15501</v>
      </c>
      <c r="C3390" s="2" t="s">
        <v>569</v>
      </c>
      <c r="D3390" s="2" t="str">
        <f t="shared" si="51"/>
        <v>Error?</v>
      </c>
    </row>
    <row r="3391" spans="1:4" x14ac:dyDescent="0.2">
      <c r="A3391" s="5">
        <v>3330</v>
      </c>
      <c r="B3391" s="1832">
        <f>'Expenditures 15-22'!K217</f>
        <v>3007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2895012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886865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247579</v>
      </c>
      <c r="D3417" s="2" t="str">
        <f t="shared" si="52"/>
        <v>Error?</v>
      </c>
    </row>
    <row r="3418" spans="1:4" x14ac:dyDescent="0.2">
      <c r="A3418" s="10">
        <v>3357</v>
      </c>
      <c r="B3418" s="1832"/>
      <c r="D3418" s="2" t="str">
        <f t="shared" si="52"/>
        <v>OK</v>
      </c>
    </row>
    <row r="3419" spans="1:4" x14ac:dyDescent="0.2">
      <c r="A3419" s="5">
        <v>3358</v>
      </c>
      <c r="B3419" s="1832">
        <f>'Assets-Liab 5-6'!F4</f>
        <v>169103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70419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64509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19966</v>
      </c>
      <c r="C3446" s="2" t="s">
        <v>569</v>
      </c>
      <c r="D3446" s="2" t="str">
        <f t="shared" si="52"/>
        <v>Error?</v>
      </c>
    </row>
    <row r="3447" spans="1:4" x14ac:dyDescent="0.2">
      <c r="A3447" s="5">
        <v>3386</v>
      </c>
      <c r="B3447" s="1832">
        <f>'Tax Sched 23'!D16</f>
        <v>19966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32511</v>
      </c>
      <c r="C3449" s="2" t="s">
        <v>569</v>
      </c>
      <c r="D3449" s="2" t="str">
        <f t="shared" si="52"/>
        <v>Error?</v>
      </c>
    </row>
    <row r="3450" spans="1:4" x14ac:dyDescent="0.2">
      <c r="A3450" s="5">
        <v>3389</v>
      </c>
      <c r="B3450" s="1832">
        <f>'Tax Sched 23'!E16</f>
        <v>32511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19966</v>
      </c>
      <c r="C3725" s="2" t="s">
        <v>569</v>
      </c>
      <c r="D3725" s="2" t="str">
        <f t="shared" si="57"/>
        <v>Error?</v>
      </c>
    </row>
    <row r="3726" spans="1:4" x14ac:dyDescent="0.2">
      <c r="A3726" s="5">
        <v>3665</v>
      </c>
      <c r="B3726" s="1832">
        <f>'Tax Sched 23'!D13</f>
        <v>19966</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10010</v>
      </c>
      <c r="C3728" s="2" t="s">
        <v>569</v>
      </c>
      <c r="D3728" s="2" t="str">
        <f t="shared" si="57"/>
        <v>Error?</v>
      </c>
    </row>
    <row r="3729" spans="1:4" x14ac:dyDescent="0.2">
      <c r="A3729" s="5">
        <v>3668</v>
      </c>
      <c r="B3729" s="1832">
        <f>'Tax Sched 23'!E13</f>
        <v>10010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782629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2414502</v>
      </c>
      <c r="C4122" s="2" t="s">
        <v>569</v>
      </c>
      <c r="D4122" s="2" t="str">
        <f t="shared" si="63"/>
        <v>Error?</v>
      </c>
    </row>
    <row r="4123" spans="1:4" x14ac:dyDescent="0.2">
      <c r="A4123" s="5">
        <v>4062</v>
      </c>
      <c r="B4123" s="1832">
        <f>'Acct Summary 7-8'!D10</f>
        <v>749024</v>
      </c>
      <c r="C4123" s="2" t="s">
        <v>569</v>
      </c>
      <c r="D4123" s="2" t="str">
        <f t="shared" si="63"/>
        <v>Error?</v>
      </c>
    </row>
    <row r="4124" spans="1:4" x14ac:dyDescent="0.2">
      <c r="A4124" s="5">
        <v>4063</v>
      </c>
      <c r="B4124" s="1832">
        <f>'Acct Summary 7-8'!E10</f>
        <v>61420</v>
      </c>
      <c r="C4124" s="2" t="s">
        <v>569</v>
      </c>
      <c r="D4124" s="2" t="str">
        <f t="shared" si="63"/>
        <v>Error?</v>
      </c>
    </row>
    <row r="4125" spans="1:4" x14ac:dyDescent="0.2">
      <c r="A4125" s="5">
        <v>4064</v>
      </c>
      <c r="B4125" s="1832">
        <f>'Acct Summary 7-8'!F10</f>
        <v>202388</v>
      </c>
      <c r="C4125" s="2" t="s">
        <v>569</v>
      </c>
      <c r="D4125" s="2" t="str">
        <f t="shared" si="63"/>
        <v>Error?</v>
      </c>
    </row>
    <row r="4126" spans="1:4" x14ac:dyDescent="0.2">
      <c r="A4126" s="5">
        <v>4065</v>
      </c>
      <c r="B4126" s="1832">
        <f>'Acct Summary 7-8'!G10</f>
        <v>45085</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59010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782629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2309405</v>
      </c>
      <c r="C4136" s="2" t="s">
        <v>569</v>
      </c>
      <c r="D4136" s="2" t="str">
        <f t="shared" si="63"/>
        <v>Error?</v>
      </c>
    </row>
    <row r="4137" spans="1:4" x14ac:dyDescent="0.2">
      <c r="A4137" s="5">
        <v>4076</v>
      </c>
      <c r="B4137" s="1832">
        <f>'Acct Summary 7-8'!D19</f>
        <v>284807</v>
      </c>
      <c r="C4137" s="2" t="s">
        <v>569</v>
      </c>
      <c r="D4137" s="2" t="str">
        <f t="shared" si="63"/>
        <v>Error?</v>
      </c>
    </row>
    <row r="4138" spans="1:4" x14ac:dyDescent="0.2">
      <c r="A4138" s="5">
        <v>4077</v>
      </c>
      <c r="B4138" s="1832">
        <f>'Acct Summary 7-8'!E19</f>
        <v>410121</v>
      </c>
      <c r="C4138" s="2" t="s">
        <v>569</v>
      </c>
      <c r="D4138" s="2" t="str">
        <f t="shared" si="63"/>
        <v>Error?</v>
      </c>
    </row>
    <row r="4139" spans="1:4" x14ac:dyDescent="0.2">
      <c r="A4139" s="5">
        <v>4078</v>
      </c>
      <c r="B4139" s="1832">
        <f>'Acct Summary 7-8'!F19</f>
        <v>146131</v>
      </c>
      <c r="C4139" s="2" t="s">
        <v>569</v>
      </c>
      <c r="D4139" s="2" t="str">
        <f t="shared" si="63"/>
        <v>Error?</v>
      </c>
    </row>
    <row r="4140" spans="1:4" x14ac:dyDescent="0.2">
      <c r="A4140" s="5">
        <v>4079</v>
      </c>
      <c r="B4140" s="1832">
        <f>'Acct Summary 7-8'!G19</f>
        <v>40894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1650000</v>
      </c>
      <c r="C4171" s="2" t="s">
        <v>569</v>
      </c>
      <c r="D4171" s="2" t="str">
        <f t="shared" si="64"/>
        <v>Error?</v>
      </c>
    </row>
    <row r="4172" spans="1:4" x14ac:dyDescent="0.2">
      <c r="A4172" s="5">
        <v>4111</v>
      </c>
      <c r="B4172" s="1832">
        <f>'Short-Term Long-Term Debt 24'!J49</f>
        <v>1402421</v>
      </c>
      <c r="C4172" s="2" t="s">
        <v>569</v>
      </c>
      <c r="D4172" s="2" t="str">
        <f t="shared" si="64"/>
        <v>Error?</v>
      </c>
    </row>
    <row r="4173" spans="1:4" x14ac:dyDescent="0.2">
      <c r="A4173" s="5">
        <v>4112</v>
      </c>
      <c r="B4173" s="1832">
        <f>'Short-Term Long-Term Debt 24'!H49</f>
        <v>355000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1290</v>
      </c>
      <c r="C4268" s="2" t="s">
        <v>569</v>
      </c>
      <c r="D4268" s="2" t="str">
        <f t="shared" si="65"/>
        <v>Error?</v>
      </c>
    </row>
    <row r="4269" spans="1:5" x14ac:dyDescent="0.2">
      <c r="A4269" s="12">
        <v>4208</v>
      </c>
      <c r="B4269" s="1832">
        <f>'FP Info 3'!J16</f>
        <v>3950980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4130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143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15372</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15372</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13541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943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16339</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3842</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127050433</v>
      </c>
      <c r="D4995" s="2" t="str">
        <f t="shared" si="77"/>
        <v>Error?</v>
      </c>
    </row>
    <row r="4996" spans="1:4" x14ac:dyDescent="0.2">
      <c r="A4996" s="12">
        <v>4935</v>
      </c>
      <c r="B4996" s="1832">
        <f>'FP Info 3'!H31</f>
        <v>8766479.8770000003</v>
      </c>
      <c r="D4996" s="2" t="str">
        <f t="shared" si="77"/>
        <v>Error?</v>
      </c>
    </row>
    <row r="4997" spans="1:4" x14ac:dyDescent="0.2">
      <c r="A4997" s="12">
        <v>4936</v>
      </c>
      <c r="B4997" s="1832">
        <f>'FP Info 3'!H37</f>
        <v>1650000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115000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115000</v>
      </c>
      <c r="D5024" s="2" t="str">
        <f t="shared" si="77"/>
        <v>Error?</v>
      </c>
    </row>
    <row r="5025" spans="1:4" x14ac:dyDescent="0.2">
      <c r="A5025" s="10">
        <v>4964</v>
      </c>
      <c r="B5025" s="1832"/>
      <c r="C5025" s="2" t="s">
        <v>569</v>
      </c>
      <c r="D5025" s="2" t="str">
        <f t="shared" si="77"/>
        <v>OK</v>
      </c>
    </row>
    <row r="5026" spans="1:4" x14ac:dyDescent="0.2">
      <c r="A5026" s="5">
        <v>4965</v>
      </c>
      <c r="B5026" s="1832">
        <f>'Revenues 9-14'!C6</f>
        <v>19966</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1084216</v>
      </c>
      <c r="D5061" s="2" t="str">
        <f t="shared" si="78"/>
        <v>Error?</v>
      </c>
    </row>
    <row r="5062" spans="1:4" x14ac:dyDescent="0.2">
      <c r="A5062" s="10">
        <v>5001</v>
      </c>
      <c r="B5062" s="1832"/>
      <c r="D5062" s="2" t="str">
        <f t="shared" si="78"/>
        <v>OK</v>
      </c>
    </row>
    <row r="5063" spans="1:4" x14ac:dyDescent="0.2">
      <c r="A5063" s="5">
        <v>5002</v>
      </c>
      <c r="B5063" s="1832">
        <f>'Revenues 9-14'!C7</f>
        <v>23570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1127752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5000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5000</v>
      </c>
      <c r="C5071" s="2" t="s">
        <v>569</v>
      </c>
      <c r="D5071" s="2" t="str">
        <f t="shared" si="78"/>
        <v>Error?</v>
      </c>
    </row>
    <row r="5072" spans="1:4" x14ac:dyDescent="0.2">
      <c r="A5072" s="5">
        <v>5011</v>
      </c>
      <c r="B5072" s="1832">
        <f>'Revenues 9-14'!C20</f>
        <v>8700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8700</v>
      </c>
      <c r="C5087" s="2" t="s">
        <v>569</v>
      </c>
      <c r="D5087" s="2" t="str">
        <f t="shared" si="78"/>
        <v>Error?</v>
      </c>
    </row>
    <row r="5088" spans="1:4" x14ac:dyDescent="0.2">
      <c r="A5088" s="5">
        <v>5027</v>
      </c>
      <c r="B5088" s="1832">
        <f>'Revenues 9-14'!C65</f>
        <v>47980</v>
      </c>
      <c r="D5088" s="2" t="str">
        <f t="shared" si="78"/>
        <v>Error?</v>
      </c>
    </row>
    <row r="5089" spans="1:4" x14ac:dyDescent="0.2">
      <c r="A5089" s="5">
        <v>5028</v>
      </c>
      <c r="B5089" s="1832">
        <f>'Revenues 9-14'!C66</f>
        <v>52358</v>
      </c>
      <c r="D5089" s="2" t="str">
        <f t="shared" si="78"/>
        <v>Error?</v>
      </c>
    </row>
    <row r="5090" spans="1:4" x14ac:dyDescent="0.2">
      <c r="A5090" s="5">
        <v>5029</v>
      </c>
      <c r="B5090" s="1832">
        <f>'Revenues 9-14'!C67</f>
        <v>100338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12876</v>
      </c>
      <c r="C5096" s="2" t="s">
        <v>569</v>
      </c>
      <c r="D5096" s="2" t="str">
        <f t="shared" si="78"/>
        <v>Error?</v>
      </c>
    </row>
    <row r="5097" spans="1:4" x14ac:dyDescent="0.2">
      <c r="A5097" s="5">
        <v>5036</v>
      </c>
      <c r="B5097" s="1832">
        <f>'Revenues 9-14'!C77</f>
        <v>4919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1094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6013</v>
      </c>
      <c r="C5102" s="2" t="s">
        <v>569</v>
      </c>
      <c r="D5102" s="2" t="str">
        <f t="shared" si="78"/>
        <v>Error?</v>
      </c>
    </row>
    <row r="5103" spans="1:4" x14ac:dyDescent="0.2">
      <c r="A5103" s="5">
        <v>5042</v>
      </c>
      <c r="B5103" s="1832">
        <f>'Revenues 9-14'!C84</f>
        <v>6630</v>
      </c>
      <c r="D5103" s="2" t="str">
        <f t="shared" si="78"/>
        <v>Error?</v>
      </c>
    </row>
    <row r="5104" spans="1:4" x14ac:dyDescent="0.2">
      <c r="A5104" s="5">
        <v>5043</v>
      </c>
      <c r="B5104" s="1832">
        <f>'Revenues 9-14'!C85</f>
        <v>2560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9190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5655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4233</v>
      </c>
      <c r="D5119" s="2" t="str">
        <f t="shared" ref="D5119:D5182" si="79">IF(ISBLANK(B5119),"OK",IF(A5119-B5119=0,"OK","Error?"))</f>
        <v>Error?</v>
      </c>
    </row>
    <row r="5120" spans="1:4" x14ac:dyDescent="0.2">
      <c r="A5120" s="5">
        <v>5059</v>
      </c>
      <c r="B5120" s="1832">
        <f>'Revenues 9-14'!C108</f>
        <v>27395</v>
      </c>
      <c r="C5120" s="2" t="s">
        <v>569</v>
      </c>
      <c r="D5120" s="2" t="str">
        <f t="shared" si="79"/>
        <v>Error?</v>
      </c>
    </row>
    <row r="5121" spans="1:4" x14ac:dyDescent="0.2">
      <c r="A5121" s="5">
        <v>5060</v>
      </c>
      <c r="B5121" s="1832">
        <f>'Revenues 9-14'!C109</f>
        <v>1297264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213918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213918</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134</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3976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217894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10173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10173</v>
      </c>
      <c r="C5246" s="2" t="s">
        <v>569</v>
      </c>
      <c r="D5246" s="2" t="str">
        <f t="shared" si="80"/>
        <v>Error?</v>
      </c>
    </row>
    <row r="5247" spans="1:4" x14ac:dyDescent="0.2">
      <c r="A5247" s="5">
        <v>5186</v>
      </c>
      <c r="B5247" s="1832">
        <f>'Revenues 9-14'!C200</f>
        <v>21360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13541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21360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1620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49433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51053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116715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116715</v>
      </c>
      <c r="C5326" s="2" t="s">
        <v>569</v>
      </c>
      <c r="D5326" s="2" t="str">
        <f t="shared" si="82"/>
        <v>Error?</v>
      </c>
    </row>
    <row r="5327" spans="1:5" x14ac:dyDescent="0.2">
      <c r="A5327" s="5">
        <v>5266</v>
      </c>
      <c r="B5327" s="1832">
        <f>'Revenues 9-14'!C268</f>
        <v>1631873</v>
      </c>
      <c r="C5327" s="2" t="s">
        <v>569</v>
      </c>
      <c r="D5327" s="2" t="str">
        <f t="shared" si="82"/>
        <v>Error?</v>
      </c>
    </row>
    <row r="5328" spans="1:5" x14ac:dyDescent="0.2">
      <c r="A5328" s="5">
        <v>5267</v>
      </c>
      <c r="B5328" s="1832">
        <f>'Revenues 9-14'!D5</f>
        <v>294624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294624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250015</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250015</v>
      </c>
      <c r="C5339" s="2" t="s">
        <v>569</v>
      </c>
      <c r="D5339" s="2" t="str">
        <f t="shared" si="82"/>
        <v>Error?</v>
      </c>
    </row>
    <row r="5340" spans="1:4" x14ac:dyDescent="0.2">
      <c r="A5340" s="5">
        <v>5279</v>
      </c>
      <c r="B5340" s="1832">
        <f>'Revenues 9-14'!D65</f>
        <v>1293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1293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12750</v>
      </c>
      <c r="D5354" s="2" t="str">
        <f t="shared" si="82"/>
        <v>Error?</v>
      </c>
    </row>
    <row r="5355" spans="1:4" x14ac:dyDescent="0.2">
      <c r="A5355" s="5">
        <v>5294</v>
      </c>
      <c r="B5355" s="1832">
        <f>'Revenues 9-14'!D108</f>
        <v>153092</v>
      </c>
      <c r="C5355" s="2" t="s">
        <v>569</v>
      </c>
      <c r="D5355" s="2" t="str">
        <f t="shared" si="82"/>
        <v>Error?</v>
      </c>
    </row>
    <row r="5356" spans="1:4" x14ac:dyDescent="0.2">
      <c r="A5356" s="5">
        <v>5295</v>
      </c>
      <c r="B5356" s="1832">
        <f>'Revenues 9-14'!D109</f>
        <v>699024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749024</v>
      </c>
      <c r="C5508" s="2" t="s">
        <v>569</v>
      </c>
      <c r="D5508" s="2" t="str">
        <f t="shared" si="85"/>
        <v>Error?</v>
      </c>
    </row>
    <row r="5509" spans="1:4" x14ac:dyDescent="0.2">
      <c r="A5509" s="5">
        <v>5448</v>
      </c>
      <c r="B5509" s="1832">
        <f>'Revenues 9-14'!E5</f>
        <v>60890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60890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530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530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61420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61420</v>
      </c>
      <c r="C5552" s="2" t="s">
        <v>569</v>
      </c>
      <c r="D5552" s="2" t="str">
        <f t="shared" si="85"/>
        <v>Error?</v>
      </c>
    </row>
    <row r="5553" spans="1:4" x14ac:dyDescent="0.2">
      <c r="A5553" s="5">
        <v>5492</v>
      </c>
      <c r="B5553" s="1832">
        <f>'Revenues 9-14'!F5</f>
        <v>141419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141419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539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539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141958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58908</v>
      </c>
      <c r="D5615" s="2" t="str">
        <f t="shared" si="86"/>
        <v>Error?</v>
      </c>
    </row>
    <row r="5616" spans="1:4" x14ac:dyDescent="0.2">
      <c r="A5616" s="10">
        <v>5555</v>
      </c>
      <c r="B5616" s="1832"/>
      <c r="D5616" s="2" t="str">
        <f t="shared" si="86"/>
        <v>OK</v>
      </c>
    </row>
    <row r="5617" spans="1:5" x14ac:dyDescent="0.2">
      <c r="A5617" s="5">
        <v>5556</v>
      </c>
      <c r="B5617" s="1832">
        <f>'Revenues 9-14'!F153</f>
        <v>1522</v>
      </c>
      <c r="D5617" s="2" t="str">
        <f t="shared" si="86"/>
        <v>Error?</v>
      </c>
    </row>
    <row r="5618" spans="1:5" x14ac:dyDescent="0.2">
      <c r="A5618" s="5">
        <v>5557</v>
      </c>
      <c r="B5618" s="1832">
        <f>'Revenues 9-14'!F155</f>
        <v>60430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60430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60430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202388</v>
      </c>
      <c r="C5720" s="2" t="s">
        <v>569</v>
      </c>
      <c r="D5720" s="2" t="str">
        <f t="shared" si="88"/>
        <v>Error?</v>
      </c>
    </row>
    <row r="5721" spans="1:4" x14ac:dyDescent="0.2">
      <c r="A5721" s="5">
        <v>5660</v>
      </c>
      <c r="B5721" s="1832">
        <f>'Revenues 9-14'!G5</f>
        <v>19966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19966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39932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5000</v>
      </c>
      <c r="C5730" s="2" t="s">
        <v>569</v>
      </c>
      <c r="D5730" s="2" t="str">
        <f t="shared" si="88"/>
        <v>Error?</v>
      </c>
    </row>
    <row r="5731" spans="1:4" x14ac:dyDescent="0.2">
      <c r="A5731" s="5">
        <v>5670</v>
      </c>
      <c r="B5731" s="1832">
        <f>'Revenues 9-14'!G65</f>
        <v>153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153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45085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58925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58925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85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59010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45085</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59010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12876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6196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157.19999999999999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32039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32039</v>
      </c>
      <c r="D6215" s="2" t="str">
        <f t="shared" si="96"/>
        <v>Error?</v>
      </c>
      <c r="E6215" s="2" t="s">
        <v>189</v>
      </c>
    </row>
    <row r="6216" spans="1:5" x14ac:dyDescent="0.2">
      <c r="A6216">
        <v>6155</v>
      </c>
      <c r="B6216" s="1832">
        <f>'Assets-Liab 5-6'!J41</f>
        <v>32039</v>
      </c>
      <c r="D6216" s="2" t="str">
        <f t="shared" si="96"/>
        <v>Error?</v>
      </c>
      <c r="E6216" s="2" t="s">
        <v>189</v>
      </c>
    </row>
    <row r="6217" spans="1:5" x14ac:dyDescent="0.2">
      <c r="A6217">
        <v>6156</v>
      </c>
      <c r="B6217" s="1832">
        <f>'Assets-Liab 5-6'!J4</f>
        <v>32039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89919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89919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89919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94074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94074</v>
      </c>
      <c r="D6229" s="2" t="str">
        <f t="shared" si="96"/>
        <v>Error?</v>
      </c>
      <c r="E6229" s="2" t="s">
        <v>189</v>
      </c>
    </row>
    <row r="6230" spans="1:5" x14ac:dyDescent="0.2">
      <c r="A6230">
        <v>6169</v>
      </c>
      <c r="B6230" s="1832">
        <f>'Acct Summary 7-8'!J20</f>
        <v>-4155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-4155</v>
      </c>
      <c r="D6263" s="2" t="str">
        <f t="shared" si="96"/>
        <v>Error?</v>
      </c>
      <c r="E6263" s="2" t="s">
        <v>189</v>
      </c>
    </row>
    <row r="6264" spans="1:5" x14ac:dyDescent="0.2">
      <c r="A6264">
        <v>6203</v>
      </c>
      <c r="B6264" s="1832">
        <f>'Acct Summary 7-8'!J79</f>
        <v>36194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32039</v>
      </c>
      <c r="D6266" s="2" t="str">
        <f t="shared" si="96"/>
        <v>Error?</v>
      </c>
      <c r="E6266" s="2" t="s">
        <v>189</v>
      </c>
    </row>
    <row r="6267" spans="1:5" x14ac:dyDescent="0.2">
      <c r="A6267">
        <v>6206</v>
      </c>
      <c r="B6267" s="1832">
        <f>'Acct Summary 7-8'!C82</f>
        <v>173607</v>
      </c>
      <c r="D6267" s="2" t="str">
        <f t="shared" si="96"/>
        <v>Error?</v>
      </c>
      <c r="E6267" s="2" t="s">
        <v>189</v>
      </c>
    </row>
    <row r="6268" spans="1:5" x14ac:dyDescent="0.2">
      <c r="A6268">
        <v>6207</v>
      </c>
      <c r="B6268" s="1832">
        <f>'Acct Summary 7-8'!D82</f>
        <v>217136</v>
      </c>
      <c r="D6268" s="2" t="str">
        <f t="shared" si="96"/>
        <v>Error?</v>
      </c>
      <c r="E6268" s="2" t="s">
        <v>189</v>
      </c>
    </row>
    <row r="6269" spans="1:5" x14ac:dyDescent="0.2">
      <c r="A6269">
        <v>6208</v>
      </c>
      <c r="B6269" s="1832">
        <f>'Acct Summary 7-8'!E82</f>
        <v>13380</v>
      </c>
      <c r="D6269" s="2" t="str">
        <f t="shared" si="96"/>
        <v>Error?</v>
      </c>
      <c r="E6269" s="2" t="s">
        <v>189</v>
      </c>
    </row>
    <row r="6270" spans="1:5" x14ac:dyDescent="0.2">
      <c r="A6270">
        <v>6209</v>
      </c>
      <c r="B6270" s="1832">
        <f>'Acct Summary 7-8'!F82</f>
        <v>-58743</v>
      </c>
      <c r="D6270" s="2" t="str">
        <f t="shared" si="96"/>
        <v>Error?</v>
      </c>
      <c r="E6270" s="2" t="s">
        <v>189</v>
      </c>
    </row>
    <row r="6271" spans="1:5" x14ac:dyDescent="0.2">
      <c r="A6271">
        <v>6210</v>
      </c>
      <c r="B6271" s="1832">
        <f>'Acct Summary 7-8'!G82</f>
        <v>4191</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-4155</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5.9967627077193462E-2</v>
      </c>
      <c r="D6276" s="2" t="str">
        <f t="shared" si="97"/>
        <v>Error?</v>
      </c>
      <c r="E6276" s="2" t="s">
        <v>189</v>
      </c>
    </row>
    <row r="6277" spans="1:5" x14ac:dyDescent="0.2">
      <c r="A6277">
        <v>6216</v>
      </c>
      <c r="B6277" s="1832">
        <f>'Acct Summary 7-8'!D83</f>
        <v>0.24483545973738957</v>
      </c>
      <c r="D6277" s="2" t="str">
        <f t="shared" si="97"/>
        <v>Error?</v>
      </c>
      <c r="E6277" s="2" t="s">
        <v>189</v>
      </c>
    </row>
    <row r="6278" spans="1:5" x14ac:dyDescent="0.2">
      <c r="A6278">
        <v>6217</v>
      </c>
      <c r="B6278" s="1832">
        <f>'Acct Summary 7-8'!E83</f>
        <v>5.4043355858130131E-2</v>
      </c>
      <c r="D6278" s="2" t="str">
        <f t="shared" si="97"/>
        <v>Error?</v>
      </c>
      <c r="E6278" s="2" t="s">
        <v>189</v>
      </c>
    </row>
    <row r="6279" spans="1:5" x14ac:dyDescent="0.2">
      <c r="A6279">
        <v>6218</v>
      </c>
      <c r="B6279" s="1832">
        <f>'Acct Summary 7-8'!F83</f>
        <v>-0.34737999917210222</v>
      </c>
      <c r="D6279" s="2" t="str">
        <f t="shared" si="97"/>
        <v>Error?</v>
      </c>
      <c r="E6279" s="2" t="s">
        <v>189</v>
      </c>
    </row>
    <row r="6280" spans="1:5" x14ac:dyDescent="0.2">
      <c r="A6280">
        <v>6219</v>
      </c>
      <c r="B6280" s="1832">
        <f>'Acct Summary 7-8'!G83</f>
        <v>5.951518766242065E-2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f>'Acct Summary 7-8'!J83</f>
        <v>-0.12968569555853804</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89825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89825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139842</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1168</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89919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368</v>
      </c>
      <c r="D7016" s="2" t="str">
        <f t="shared" si="108"/>
        <v>Error?</v>
      </c>
    </row>
    <row r="7017" spans="1:4" x14ac:dyDescent="0.2">
      <c r="A7017">
        <v>6956</v>
      </c>
      <c r="B7017" s="1832">
        <f>'Expenditures 15-22'!K111</f>
        <v>368</v>
      </c>
      <c r="D7017" s="2" t="str">
        <f t="shared" si="108"/>
        <v>Error?</v>
      </c>
    </row>
    <row r="7018" spans="1:4" x14ac:dyDescent="0.2">
      <c r="A7018">
        <v>6957</v>
      </c>
      <c r="B7018" s="1832">
        <f>'Expenditures 15-22'!H112</f>
        <v>368</v>
      </c>
      <c r="D7018" s="2" t="str">
        <f t="shared" si="108"/>
        <v>Error?</v>
      </c>
    </row>
    <row r="7019" spans="1:4" x14ac:dyDescent="0.2">
      <c r="A7019">
        <v>6958</v>
      </c>
      <c r="B7019" s="1832">
        <f>'Expenditures 15-22'!K112</f>
        <v>368</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88224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11389</v>
      </c>
      <c r="D7049" s="2" t="str">
        <f t="shared" si="109"/>
        <v>Error?</v>
      </c>
    </row>
    <row r="7050" spans="1:5" x14ac:dyDescent="0.2">
      <c r="A7050">
        <v>6989</v>
      </c>
      <c r="B7050" s="1832">
        <f>'Expenditures 15-22'!K148</f>
        <v>11389</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89919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5741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5741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58483</v>
      </c>
      <c r="D7172" s="2" t="str">
        <f t="shared" si="111"/>
        <v>Error?</v>
      </c>
    </row>
    <row r="7173" spans="1:4" x14ac:dyDescent="0.2">
      <c r="A7173">
        <v>7112</v>
      </c>
      <c r="B7173" s="1832">
        <f>'Expenditures 15-22'!D325</f>
        <v>3856</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62339</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58483</v>
      </c>
      <c r="D7199" s="2" t="str">
        <f t="shared" si="111"/>
        <v>Error?</v>
      </c>
    </row>
    <row r="7200" spans="1:4" x14ac:dyDescent="0.2">
      <c r="A7200">
        <v>7139</v>
      </c>
      <c r="B7200" s="1832">
        <f>'Expenditures 15-22'!D330</f>
        <v>3856</v>
      </c>
      <c r="D7200" s="2" t="str">
        <f t="shared" si="111"/>
        <v>Error?</v>
      </c>
    </row>
    <row r="7201" spans="1:4" x14ac:dyDescent="0.2">
      <c r="A7201">
        <v>7140</v>
      </c>
      <c r="B7201" s="1832">
        <f>'Expenditures 15-22'!E330</f>
        <v>25885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88224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58483</v>
      </c>
      <c r="D7216" s="2" t="str">
        <f t="shared" si="111"/>
        <v>Error?</v>
      </c>
    </row>
    <row r="7217" spans="1:4" x14ac:dyDescent="0.2">
      <c r="A7217">
        <v>7156</v>
      </c>
      <c r="B7217" s="1832">
        <f>'Expenditures 15-22'!D342</f>
        <v>3856</v>
      </c>
      <c r="D7217" s="2" t="str">
        <f t="shared" si="111"/>
        <v>Error?</v>
      </c>
    </row>
    <row r="7218" spans="1:4" x14ac:dyDescent="0.2">
      <c r="A7218">
        <v>7157</v>
      </c>
      <c r="B7218" s="1832">
        <f>'Expenditures 15-22'!E342</f>
        <v>25885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5850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94074</v>
      </c>
      <c r="D7224" s="2" t="str">
        <f t="shared" si="111"/>
        <v>Error?</v>
      </c>
    </row>
    <row r="7225" spans="1:4" x14ac:dyDescent="0.2">
      <c r="A7225">
        <v>7164</v>
      </c>
      <c r="B7225" s="1832">
        <f>'Expenditures 15-22'!K343</f>
        <v>-4155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1228</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1228</v>
      </c>
      <c r="D7618" s="2" t="str">
        <f t="shared" si="124"/>
        <v>Error?</v>
      </c>
      <c r="E7618" s="2" t="s">
        <v>19</v>
      </c>
    </row>
    <row r="7619" spans="1:5" x14ac:dyDescent="0.2">
      <c r="A7619">
        <f t="shared" si="123"/>
        <v>7558</v>
      </c>
      <c r="B7619" s="1832">
        <f>'Cap Outlay Deprec 26'!H14</f>
        <v>1228</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1228</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171870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20144</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20144</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23570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5850</v>
      </c>
      <c r="D7787" s="2" t="str">
        <f t="shared" si="127"/>
        <v>Error?</v>
      </c>
      <c r="E7787" s="4" t="s">
        <v>1826</v>
      </c>
    </row>
    <row r="7788" spans="1:5" x14ac:dyDescent="0.2">
      <c r="A7788">
        <v>7727</v>
      </c>
      <c r="B7788" s="1832">
        <f>'Expenditures 15-22'!K333</f>
        <v>5850</v>
      </c>
      <c r="D7788" s="2" t="str">
        <f t="shared" si="127"/>
        <v>Error?</v>
      </c>
      <c r="E7788" s="4" t="s">
        <v>1826</v>
      </c>
    </row>
    <row r="7789" spans="1:5" x14ac:dyDescent="0.2">
      <c r="A7789">
        <v>7728</v>
      </c>
      <c r="B7789" s="1832">
        <f>'Expenditures 15-22'!H334</f>
        <v>5850</v>
      </c>
      <c r="D7789" s="2" t="str">
        <f t="shared" si="127"/>
        <v>Error?</v>
      </c>
      <c r="E7789" s="4" t="s">
        <v>1826</v>
      </c>
    </row>
    <row r="7790" spans="1:5" x14ac:dyDescent="0.2">
      <c r="A7790">
        <v>7729</v>
      </c>
      <c r="B7790" s="1832">
        <f>'Expenditures 15-22'!K334</f>
        <v>5850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5850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3755000</v>
      </c>
      <c r="D7817" s="2" t="str">
        <f t="shared" si="128"/>
        <v>Error?</v>
      </c>
      <c r="E7817" s="4" t="s">
        <v>1966</v>
      </c>
    </row>
    <row r="7818" spans="1:5" x14ac:dyDescent="0.2">
      <c r="A7818">
        <v>7757</v>
      </c>
      <c r="B7818" s="1832">
        <f>'PCTC-OEPP 27-28'!F172</f>
        <v>37047</v>
      </c>
      <c r="D7818" s="2" t="str">
        <f t="shared" si="128"/>
        <v>Error?</v>
      </c>
      <c r="E7818" s="4" t="s">
        <v>1980</v>
      </c>
    </row>
    <row r="7819" spans="1:5" x14ac:dyDescent="0.2">
      <c r="A7819">
        <v>7758</v>
      </c>
      <c r="B7819" s="1832">
        <f>'PCTC-OEPP 27-28'!F173</f>
        <v>1</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2502803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528754</v>
      </c>
      <c r="D7834" s="2" t="str">
        <f t="shared" si="129"/>
        <v>Error?</v>
      </c>
      <c r="E7834" s="4" t="s">
        <v>1998</v>
      </c>
    </row>
    <row r="7835" spans="1:5" x14ac:dyDescent="0.2">
      <c r="A7835">
        <v>7774</v>
      </c>
      <c r="B7835" s="1832">
        <f>'PCTC-OEPP 27-28'!F78</f>
        <v>1974049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12557.563613231554</v>
      </c>
      <c r="D7837" s="2" t="str">
        <f t="shared" si="129"/>
        <v>Error?</v>
      </c>
      <c r="E7837" s="4" t="s">
        <v>1998</v>
      </c>
    </row>
    <row r="7838" spans="1:5" x14ac:dyDescent="0.2">
      <c r="A7838">
        <v>7777</v>
      </c>
      <c r="B7838" s="1832">
        <f>'PCTC-OEPP 27-28'!F96</f>
        <v>6013</v>
      </c>
      <c r="D7838" s="2" t="str">
        <f t="shared" si="129"/>
        <v>Error?</v>
      </c>
      <c r="E7838" s="4" t="s">
        <v>1998</v>
      </c>
    </row>
    <row r="7839" spans="1:5" x14ac:dyDescent="0.2">
      <c r="A7839">
        <v>7778</v>
      </c>
      <c r="B7839" s="1832">
        <f>'PCTC-OEPP 27-28'!F102</f>
        <v>500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16339</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60430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3842</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15372</v>
      </c>
      <c r="D7857" s="2" t="str">
        <f t="shared" si="129"/>
        <v>Error?</v>
      </c>
      <c r="E7857" s="4" t="s">
        <v>1998</v>
      </c>
    </row>
    <row r="7858" spans="1:5" x14ac:dyDescent="0.2">
      <c r="A7858">
        <v>7797</v>
      </c>
      <c r="B7858" s="1832">
        <f>'PCTC-OEPP 27-28'!F126</f>
        <v>10173</v>
      </c>
      <c r="D7858" s="2" t="str">
        <f t="shared" si="129"/>
        <v>Error?</v>
      </c>
      <c r="E7858" s="4" t="s">
        <v>1998</v>
      </c>
    </row>
    <row r="7859" spans="1:5" x14ac:dyDescent="0.2">
      <c r="A7859">
        <v>7798</v>
      </c>
      <c r="B7859" s="1832">
        <f>'PCTC-OEPP 27-28'!F127</f>
        <v>21360</v>
      </c>
      <c r="D7859" s="2" t="str">
        <f t="shared" si="129"/>
        <v>Error?</v>
      </c>
      <c r="E7859" s="4" t="s">
        <v>1998</v>
      </c>
    </row>
    <row r="7860" spans="1:5" x14ac:dyDescent="0.2">
      <c r="A7860">
        <v>7799</v>
      </c>
      <c r="B7860" s="1832">
        <f>'PCTC-OEPP 27-28'!F128</f>
        <v>13541</v>
      </c>
      <c r="D7860" s="2" t="str">
        <f t="shared" si="129"/>
        <v>Error?</v>
      </c>
      <c r="E7860" s="4" t="s">
        <v>1998</v>
      </c>
    </row>
    <row r="7861" spans="1:5" x14ac:dyDescent="0.2">
      <c r="A7861">
        <v>7800</v>
      </c>
      <c r="B7861" s="1832">
        <f>'PCTC-OEPP 27-28'!F129</f>
        <v>49433</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943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4130</v>
      </c>
      <c r="D7874" s="2" t="str">
        <f t="shared" si="129"/>
        <v>Error?</v>
      </c>
      <c r="E7874" s="4" t="s">
        <v>1998</v>
      </c>
    </row>
    <row r="7875" spans="1:5" x14ac:dyDescent="0.2">
      <c r="A7875">
        <v>7814</v>
      </c>
      <c r="B7875" s="1832">
        <f>'PCTC-OEPP 27-28'!F170</f>
        <v>143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308907</v>
      </c>
      <c r="D7877" s="2" t="str">
        <f t="shared" si="129"/>
        <v>Error?</v>
      </c>
      <c r="E7877" s="4" t="s">
        <v>1998</v>
      </c>
    </row>
    <row r="7878" spans="1:5" x14ac:dyDescent="0.2">
      <c r="A7878">
        <v>7817</v>
      </c>
      <c r="B7878" s="1832">
        <f>'PCTC-OEPP 27-28'!F176</f>
        <v>1665142</v>
      </c>
      <c r="D7878" s="2" t="str">
        <f t="shared" si="129"/>
        <v>Error?</v>
      </c>
      <c r="E7878" s="4" t="s">
        <v>1998</v>
      </c>
    </row>
    <row r="7879" spans="1:5" x14ac:dyDescent="0.2">
      <c r="A7879">
        <v>7818</v>
      </c>
      <c r="B7879" s="1832">
        <f>'PCTC-OEPP 27-28'!F178</f>
        <v>1837012</v>
      </c>
      <c r="D7879" s="2" t="str">
        <f t="shared" si="129"/>
        <v>Error?</v>
      </c>
      <c r="E7879" s="4" t="s">
        <v>1998</v>
      </c>
    </row>
    <row r="7880" spans="1:5" x14ac:dyDescent="0.2">
      <c r="A7880">
        <v>7819</v>
      </c>
      <c r="B7880" s="1832">
        <f>'PCTC-OEPP 27-28'!F180</f>
        <v>11685.82697201018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Dimmick CCSD 17.5</v>
      </c>
      <c r="B7" s="2516"/>
      <c r="C7" s="2516"/>
      <c r="D7" s="2554"/>
      <c r="E7" s="2555">
        <f>COVER!A13</f>
        <v>35050017504</v>
      </c>
      <c r="F7" s="2556"/>
      <c r="G7" s="2522" t="str">
        <f>COVER!T23</f>
        <v>066-004501</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HOPKINS &amp; ASSOCIATES, CPAS</v>
      </c>
      <c r="H9" s="2529"/>
      <c r="I9" s="2529"/>
      <c r="J9" s="2529"/>
      <c r="K9" s="2529"/>
      <c r="L9" s="2530"/>
    </row>
    <row r="10" spans="1:29" ht="13.5" customHeight="1" x14ac:dyDescent="0.2">
      <c r="A10" s="2512" t="str">
        <f>COVER!A38</f>
        <v>RYAN LINNING</v>
      </c>
      <c r="B10" s="2513"/>
      <c r="C10" s="2513"/>
      <c r="D10" s="2513"/>
      <c r="E10" s="2513"/>
      <c r="F10" s="2514"/>
      <c r="G10" s="2528" t="str">
        <f>COVER!T17</f>
        <v>314 S MCCOY STREET</v>
      </c>
      <c r="H10" s="2541"/>
      <c r="I10" s="2541"/>
      <c r="J10" s="2541"/>
      <c r="K10" s="2541"/>
      <c r="L10" s="2542"/>
    </row>
    <row r="11" spans="1:29" ht="13.5" customHeight="1" x14ac:dyDescent="0.2">
      <c r="A11" s="963" t="s">
        <v>1502</v>
      </c>
      <c r="B11" s="964"/>
      <c r="C11" s="965"/>
      <c r="D11" s="970"/>
      <c r="E11" s="965"/>
      <c r="F11" s="969"/>
      <c r="G11" s="2528" t="str">
        <f>COVER!T19</f>
        <v>GRANVILLE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JOEL@HOPKINSOFFICE.COM</v>
      </c>
      <c r="J13" s="2550"/>
      <c r="K13" s="2550"/>
      <c r="L13" s="2551"/>
    </row>
    <row r="14" spans="1:29" ht="13.5" customHeight="1" x14ac:dyDescent="0.2">
      <c r="A14" s="2528" t="str">
        <f>COVER!A19</f>
        <v>297 N 33RD ROAD</v>
      </c>
      <c r="B14" s="2541"/>
      <c r="C14" s="2541"/>
      <c r="D14" s="2541"/>
      <c r="E14" s="2541"/>
      <c r="F14" s="2542"/>
      <c r="G14" s="974" t="s">
        <v>1175</v>
      </c>
      <c r="H14" s="972"/>
      <c r="I14" s="972"/>
      <c r="J14" s="972"/>
      <c r="K14" s="972"/>
      <c r="L14" s="973"/>
    </row>
    <row r="15" spans="1:29" ht="13.5" customHeight="1" x14ac:dyDescent="0.2">
      <c r="A15" s="2528" t="str">
        <f>COVER!A21</f>
        <v>LASALLE</v>
      </c>
      <c r="B15" s="2541"/>
      <c r="C15" s="2541"/>
      <c r="D15" s="2541"/>
      <c r="E15" s="2541"/>
      <c r="F15" s="2542"/>
      <c r="G15" s="2538" t="str">
        <f>COVER!T15</f>
        <v>JOEL HOPKINS</v>
      </c>
      <c r="H15" s="2539"/>
      <c r="I15" s="2539"/>
      <c r="J15" s="2539"/>
      <c r="K15" s="2539"/>
      <c r="L15" s="2540"/>
    </row>
    <row r="16" spans="1:29" ht="12.2" customHeight="1" x14ac:dyDescent="0.2">
      <c r="A16" s="2518">
        <f>COVER!A25</f>
        <v>61301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815-339-6630</v>
      </c>
      <c r="H18" s="2516"/>
      <c r="I18" s="2516"/>
      <c r="J18" s="2516"/>
      <c r="K18" s="2515" t="str">
        <f>COVER!X21</f>
        <v>815-339-6643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Dimmick CCSD 17.5</v>
      </c>
      <c r="B1" s="2558"/>
      <c r="C1" s="2558"/>
      <c r="D1" s="2558"/>
    </row>
    <row r="2" spans="1:11" s="991" customFormat="1" ht="12.75" x14ac:dyDescent="0.2">
      <c r="A2" s="2559">
        <f>'Single Audit Cover'!E7</f>
        <v>35050017504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Dimmick CCSD 17.5</v>
      </c>
      <c r="B1" s="2562"/>
      <c r="C1" s="2562"/>
      <c r="D1" s="2562"/>
      <c r="E1" s="2562"/>
    </row>
    <row r="2" spans="1:5" x14ac:dyDescent="0.2">
      <c r="A2" s="2563">
        <f>'Single Audit Cover'!E7</f>
        <v>35050017504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116715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6196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-143</v>
      </c>
    </row>
    <row r="19" spans="1:4" ht="13.5" thickBot="1" x14ac:dyDescent="0.25">
      <c r="A19" s="1041" t="s">
        <v>1224</v>
      </c>
      <c r="D19" s="1042">
        <f>SUM(D10:D17)</f>
        <v>122768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122768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122768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Dimmick CCSD 17.5</v>
      </c>
      <c r="C1" s="2566"/>
      <c r="D1" s="2566"/>
      <c r="E1" s="2566"/>
      <c r="F1" s="2566"/>
      <c r="G1" s="2566"/>
      <c r="H1" s="2566"/>
      <c r="I1" s="2566"/>
      <c r="J1" s="2566"/>
      <c r="K1" s="2566"/>
      <c r="L1" s="2566"/>
      <c r="M1" s="2566"/>
    </row>
    <row r="2" spans="2:14" ht="15" x14ac:dyDescent="0.2">
      <c r="B2" s="2567">
        <f>'Single Audit Cover'!E7</f>
        <v>35050017504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Dimmick CCSD 17.5</v>
      </c>
      <c r="B1" s="2571"/>
      <c r="C1" s="2571"/>
      <c r="D1" s="2571"/>
      <c r="E1" s="2571"/>
      <c r="F1" s="2571"/>
    </row>
    <row r="2" spans="1:7" ht="13.5" customHeight="1" x14ac:dyDescent="0.2">
      <c r="A2" s="2567">
        <f>'Single Audit Cover'!E7</f>
        <v>35050017504</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2058</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Dimmick CCSD 17.5</v>
      </c>
      <c r="C1" s="2587"/>
      <c r="D1" s="2587"/>
      <c r="E1" s="2587"/>
      <c r="F1" s="2587"/>
      <c r="G1" s="2587"/>
      <c r="H1" s="2587"/>
      <c r="I1" s="2587"/>
      <c r="J1" s="1178"/>
    </row>
    <row r="2" spans="2:10" s="295" customFormat="1" ht="12.75" customHeight="1" x14ac:dyDescent="0.2">
      <c r="B2" s="2588">
        <f>'Single Audit Cover'!E7</f>
        <v>35050017504</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Dimmick CCSD 17.5</v>
      </c>
      <c r="C1" s="2586"/>
      <c r="D1" s="2586"/>
      <c r="E1" s="2586"/>
      <c r="F1" s="2586"/>
      <c r="G1" s="2586"/>
      <c r="H1" s="2586"/>
      <c r="I1" s="2586"/>
      <c r="J1" s="2586"/>
      <c r="K1" s="2586"/>
      <c r="L1" s="1144"/>
      <c r="M1" s="1144"/>
    </row>
    <row r="2" spans="1:13" ht="12" customHeight="1" x14ac:dyDescent="0.2">
      <c r="B2" s="2588">
        <f>'Single Audit Cover'!E7</f>
        <v>35050017504</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Dimmick CCSD 17.5</v>
      </c>
      <c r="C1" s="2613"/>
      <c r="D1" s="2613"/>
      <c r="E1" s="2613"/>
      <c r="F1" s="2613"/>
      <c r="G1" s="2613"/>
      <c r="H1" s="2613"/>
      <c r="I1" s="2613"/>
      <c r="J1" s="2613"/>
      <c r="K1" s="2613"/>
      <c r="L1" s="1221"/>
    </row>
    <row r="2" spans="1:12" ht="12.75" customHeight="1" x14ac:dyDescent="0.2">
      <c r="B2" s="2614">
        <f>'Single Audit Cover'!E7</f>
        <v>35050017504</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Dimmick CCSD 17.5</v>
      </c>
      <c r="C1" s="2586"/>
      <c r="D1" s="2586"/>
      <c r="E1" s="1240"/>
    </row>
    <row r="2" spans="2:5" s="1058" customFormat="1" ht="12.75" customHeight="1" x14ac:dyDescent="0.2">
      <c r="B2" s="2588">
        <f>'Single Audit Cover'!E7</f>
        <v>35050017504</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F45" sqref="F4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127050433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24">
        <f>ROUND(D10+F10+H10,5)</f>
        <v>1.29E-2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2642295</v>
      </c>
      <c r="E16" s="1547"/>
      <c r="F16" s="1546">
        <f>SUM('Acct Summary 7-8'!C17,'Acct Summary 7-8'!D17,'Acct Summary 7-8'!F17)</f>
        <v>1957714</v>
      </c>
      <c r="G16" s="1547"/>
      <c r="H16" s="1546">
        <f>SUM(D16-F16)</f>
        <v>684581</v>
      </c>
      <c r="I16" s="1548"/>
      <c r="J16" s="1546">
        <f>SUM('Acct Summary 7-8'!C81,'Acct Summary 7-8'!D81,'Acct Summary 7-8'!F81,'Acct Summary 7-8'!I81)</f>
        <v>3950980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2067</v>
      </c>
      <c r="C31" s="344" t="s">
        <v>582</v>
      </c>
      <c r="D31" s="232" t="s">
        <v>1063</v>
      </c>
      <c r="E31" s="217"/>
      <c r="F31" s="217"/>
      <c r="G31" s="340"/>
      <c r="H31" s="1425">
        <f>IF(B31="X",(J7*0.069),IF(B32="X",(J7*0.138),"Enter x in a.or b."))</f>
        <v>8766479.8770000003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1650000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Dimmick CCSD 17.5</v>
      </c>
      <c r="E7" s="368"/>
      <c r="G7" s="247"/>
      <c r="H7" s="364"/>
      <c r="I7" s="364"/>
      <c r="J7" s="364"/>
      <c r="K7" s="364"/>
      <c r="L7" s="307"/>
      <c r="M7" s="307"/>
      <c r="N7" s="307"/>
      <c r="O7" s="307"/>
      <c r="P7" s="307"/>
    </row>
    <row r="8" spans="1:18" ht="12.75" x14ac:dyDescent="0.2">
      <c r="A8" s="307"/>
      <c r="B8" s="307"/>
      <c r="C8" s="366" t="s">
        <v>1115</v>
      </c>
      <c r="D8" s="369">
        <f>COVER!A13</f>
        <v>35050017504</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3950980</v>
      </c>
      <c r="I12" s="380"/>
      <c r="J12" s="380"/>
      <c r="K12" s="1559">
        <f>TRUNC((H12/H13*100000),5)/100000</f>
        <v>1.4952834562000001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2642295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1957714</v>
      </c>
      <c r="I17" s="380"/>
      <c r="J17" s="389"/>
      <c r="K17" s="1559">
        <f>TRUNC((H17/H18*100000),5)/100000</f>
        <v>0.74091424309999998</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2642295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3950980</v>
      </c>
      <c r="I24" s="394"/>
      <c r="J24" s="394"/>
      <c r="K24" s="1555">
        <f>TRUNC(((H24/H25*100000)/100000),2)</f>
        <v>726.53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5438.0944399999998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1393107.9978499999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1650000</v>
      </c>
      <c r="I32" s="392"/>
      <c r="J32" s="392"/>
      <c r="K32" s="1555">
        <f>TRUNC(100-((((H32/H33*100))*100)/100),2)</f>
        <v>81.17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8766479.8770000003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C4" sqref="C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2895012</v>
      </c>
      <c r="D4" s="1573">
        <v>886865</v>
      </c>
      <c r="E4" s="1573">
        <v>247579</v>
      </c>
      <c r="F4" s="1573">
        <v>169103</v>
      </c>
      <c r="G4" s="1573">
        <v>70419</v>
      </c>
      <c r="H4" s="1573"/>
      <c r="I4" s="1573"/>
      <c r="J4" s="1574">
        <v>32039</v>
      </c>
      <c r="K4" s="1573"/>
      <c r="L4" s="1573">
        <f>62536+1973</f>
        <v>64509</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2895012</v>
      </c>
      <c r="D13" s="1587">
        <f t="shared" ref="D13:L13" si="0">SUM(D4:D12)</f>
        <v>886865</v>
      </c>
      <c r="E13" s="1587">
        <f t="shared" si="0"/>
        <v>247579</v>
      </c>
      <c r="F13" s="1587">
        <f t="shared" si="0"/>
        <v>169103</v>
      </c>
      <c r="G13" s="1587">
        <f t="shared" si="0"/>
        <v>70419</v>
      </c>
      <c r="H13" s="1587">
        <f t="shared" si="0"/>
        <v>0</v>
      </c>
      <c r="I13" s="1587">
        <f t="shared" si="0"/>
        <v>0</v>
      </c>
      <c r="J13" s="1587">
        <f t="shared" si="0"/>
        <v>32039</v>
      </c>
      <c r="K13" s="1587">
        <f t="shared" si="0"/>
        <v>0</v>
      </c>
      <c r="L13" s="1587">
        <f t="shared" si="0"/>
        <v>64509</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120450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7206611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334224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693108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247579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1402421</v>
      </c>
    </row>
    <row r="23" spans="1:14" ht="13.5" customHeight="1" thickBot="1" x14ac:dyDescent="0.25">
      <c r="A23" s="1426" t="s">
        <v>638</v>
      </c>
      <c r="B23" s="1429"/>
      <c r="C23" s="1575"/>
      <c r="D23" s="1575"/>
      <c r="E23" s="1575"/>
      <c r="F23" s="1575"/>
      <c r="G23" s="1575"/>
      <c r="H23" s="1575"/>
      <c r="I23" s="1575"/>
      <c r="J23" s="1575"/>
      <c r="K23" s="1575"/>
      <c r="L23" s="1575"/>
      <c r="M23" s="1594">
        <f>SUM(M15:M22)</f>
        <v>8354393</v>
      </c>
      <c r="N23" s="1594">
        <f>SUM(N21:N22)</f>
        <v>1650000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1973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1973</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1650000</v>
      </c>
    </row>
    <row r="37" spans="1:14" ht="13.5" thickBot="1" x14ac:dyDescent="0.25">
      <c r="A37" s="1426" t="s">
        <v>648</v>
      </c>
      <c r="B37" s="1429"/>
      <c r="C37" s="1582"/>
      <c r="D37" s="1582"/>
      <c r="E37" s="1582"/>
      <c r="F37" s="1582"/>
      <c r="G37" s="1582"/>
      <c r="H37" s="1582"/>
      <c r="I37" s="1582"/>
      <c r="J37" s="1582"/>
      <c r="K37" s="1582"/>
      <c r="L37" s="1585"/>
      <c r="M37" s="1575"/>
      <c r="N37" s="1594">
        <f>SUM(N36:N36)</f>
        <v>1650000</v>
      </c>
    </row>
    <row r="38" spans="1:14" s="307" customFormat="1" ht="13.5" customHeight="1" thickTop="1" x14ac:dyDescent="0.2">
      <c r="A38" s="438" t="s">
        <v>417</v>
      </c>
      <c r="B38" s="432">
        <v>714</v>
      </c>
      <c r="C38" s="1573"/>
      <c r="D38" s="1573"/>
      <c r="E38" s="1573"/>
      <c r="F38" s="1573"/>
      <c r="G38" s="1573"/>
      <c r="H38" s="1573"/>
      <c r="I38" s="1573"/>
      <c r="J38" s="1574"/>
      <c r="K38" s="1573"/>
      <c r="L38" s="1586">
        <v>62536</v>
      </c>
      <c r="M38" s="1604"/>
      <c r="N38" s="1604"/>
    </row>
    <row r="39" spans="1:14" s="307" customFormat="1" ht="13.5" customHeight="1" x14ac:dyDescent="0.2">
      <c r="A39" s="438" t="s">
        <v>339</v>
      </c>
      <c r="B39" s="432">
        <v>730</v>
      </c>
      <c r="C39" s="1573">
        <v>2895012</v>
      </c>
      <c r="D39" s="1573">
        <v>886865</v>
      </c>
      <c r="E39" s="1573">
        <v>247579</v>
      </c>
      <c r="F39" s="1573">
        <v>169103</v>
      </c>
      <c r="G39" s="1573">
        <v>70419</v>
      </c>
      <c r="H39" s="1573"/>
      <c r="I39" s="1573"/>
      <c r="J39" s="1574">
        <v>32039</v>
      </c>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8354393</v>
      </c>
      <c r="N40" s="1604"/>
    </row>
    <row r="41" spans="1:14" ht="13.5" customHeight="1" thickBot="1" x14ac:dyDescent="0.25">
      <c r="A41" s="1426" t="s">
        <v>650</v>
      </c>
      <c r="B41" s="1405"/>
      <c r="C41" s="1594">
        <f>(SUM(C34,C37,C38,C39))</f>
        <v>2895012</v>
      </c>
      <c r="D41" s="1594">
        <f t="shared" ref="D41:L41" si="2">SUM(D34,D37,D38:D39)</f>
        <v>886865</v>
      </c>
      <c r="E41" s="1594">
        <f t="shared" si="2"/>
        <v>247579</v>
      </c>
      <c r="F41" s="1594">
        <f t="shared" si="2"/>
        <v>169103</v>
      </c>
      <c r="G41" s="1594">
        <f t="shared" si="2"/>
        <v>70419</v>
      </c>
      <c r="H41" s="1594">
        <f t="shared" si="2"/>
        <v>0</v>
      </c>
      <c r="I41" s="1594">
        <f t="shared" si="2"/>
        <v>0</v>
      </c>
      <c r="J41" s="1594">
        <f t="shared" si="2"/>
        <v>32039</v>
      </c>
      <c r="K41" s="1594">
        <f t="shared" si="2"/>
        <v>0</v>
      </c>
      <c r="L41" s="1594">
        <f t="shared" si="2"/>
        <v>64509</v>
      </c>
      <c r="M41" s="1594">
        <f>SUM(M40)</f>
        <v>8354393</v>
      </c>
      <c r="N41" s="1594">
        <f>SUM(N37)</f>
        <v>1650000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3" activePane="bottomLeft" state="frozen"/>
      <selection pane="bottomLeft" activeCell="C78" sqref="C78:J7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1297264</v>
      </c>
      <c r="D4" s="1606">
        <f>'Revenues 9-14'!D109</f>
        <v>699024</v>
      </c>
      <c r="E4" s="1606">
        <f>'Revenues 9-14'!E109</f>
        <v>61420</v>
      </c>
      <c r="F4" s="1606">
        <f>'Revenues 9-14'!F109</f>
        <v>141958</v>
      </c>
      <c r="G4" s="1606">
        <f>'Revenues 9-14'!G109</f>
        <v>45085</v>
      </c>
      <c r="H4" s="1606">
        <f>'Revenues 9-14'!H109</f>
        <v>0</v>
      </c>
      <c r="I4" s="1606">
        <f>'Revenues 9-14'!I109</f>
        <v>59010</v>
      </c>
      <c r="J4" s="1606">
        <f>'Revenues 9-14'!J109</f>
        <v>89919</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217894</v>
      </c>
      <c r="D6" s="1607">
        <f>'Revenues 9-14'!D170</f>
        <v>50000</v>
      </c>
      <c r="E6" s="1607">
        <f>'Revenues 9-14'!E170</f>
        <v>0</v>
      </c>
      <c r="F6" s="1607">
        <f>'Revenues 9-14'!F170</f>
        <v>60430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116715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1631873</v>
      </c>
      <c r="D8" s="1594">
        <f t="shared" ref="D8:K8" si="0">SUM(D4:D7)</f>
        <v>749024</v>
      </c>
      <c r="E8" s="1594">
        <f t="shared" si="0"/>
        <v>61420</v>
      </c>
      <c r="F8" s="1594">
        <f t="shared" si="0"/>
        <v>202388</v>
      </c>
      <c r="G8" s="1594">
        <f t="shared" si="0"/>
        <v>45085</v>
      </c>
      <c r="H8" s="1594">
        <f t="shared" si="0"/>
        <v>0</v>
      </c>
      <c r="I8" s="1594">
        <f t="shared" si="0"/>
        <v>59010</v>
      </c>
      <c r="J8" s="1594">
        <f t="shared" si="0"/>
        <v>89919</v>
      </c>
      <c r="K8" s="1594">
        <f t="shared" si="0"/>
        <v>0</v>
      </c>
      <c r="L8" s="325"/>
    </row>
    <row r="9" spans="1:13" ht="15.75" thickTop="1" x14ac:dyDescent="0.2">
      <c r="A9" s="449" t="s">
        <v>1634</v>
      </c>
      <c r="B9" s="450">
        <v>3998</v>
      </c>
      <c r="C9" s="1586">
        <f>771028+11601</f>
        <v>782629</v>
      </c>
      <c r="D9" s="1613"/>
      <c r="E9" s="1586"/>
      <c r="F9" s="1586"/>
      <c r="G9" s="1614"/>
      <c r="H9" s="1586"/>
      <c r="I9" s="1609" t="s">
        <v>1159</v>
      </c>
      <c r="J9" s="1583"/>
      <c r="K9" s="1586"/>
      <c r="L9" s="325"/>
    </row>
    <row r="10" spans="1:13" s="452" customFormat="1" ht="13.5" thickBot="1" x14ac:dyDescent="0.25">
      <c r="A10" s="1426" t="s">
        <v>1163</v>
      </c>
      <c r="B10" s="1407"/>
      <c r="C10" s="1594">
        <f>SUM(C8:C9)</f>
        <v>2414502</v>
      </c>
      <c r="D10" s="1594">
        <f t="shared" ref="D10:K10" si="1">SUM(D8:D9)</f>
        <v>749024</v>
      </c>
      <c r="E10" s="1594">
        <f t="shared" si="1"/>
        <v>61420</v>
      </c>
      <c r="F10" s="1594">
        <f t="shared" si="1"/>
        <v>202388</v>
      </c>
      <c r="G10" s="1594">
        <f t="shared" si="1"/>
        <v>45085</v>
      </c>
      <c r="H10" s="1594">
        <f t="shared" si="1"/>
        <v>0</v>
      </c>
      <c r="I10" s="1594">
        <f t="shared" si="1"/>
        <v>59010</v>
      </c>
      <c r="J10" s="1594">
        <f t="shared" si="1"/>
        <v>89919</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990000</v>
      </c>
      <c r="D12" s="1616" t="s">
        <v>1159</v>
      </c>
      <c r="E12" s="1575" t="s">
        <v>1159</v>
      </c>
      <c r="F12" s="1575" t="s">
        <v>1159</v>
      </c>
      <c r="G12" s="1606">
        <f>'Expenditures 15-22'!K229</f>
        <v>19231</v>
      </c>
      <c r="H12" s="1617"/>
      <c r="I12" s="1575" t="s">
        <v>1159</v>
      </c>
      <c r="J12" s="1575" t="s">
        <v>1159</v>
      </c>
      <c r="K12" s="1617" t="s">
        <v>1159</v>
      </c>
      <c r="L12" s="325"/>
    </row>
    <row r="13" spans="1:13" ht="15.75" customHeight="1" x14ac:dyDescent="0.2">
      <c r="A13" s="1314" t="s">
        <v>454</v>
      </c>
      <c r="B13" s="1316">
        <v>2000</v>
      </c>
      <c r="C13" s="1607">
        <f>'Expenditures 15-22'!K74</f>
        <v>391839</v>
      </c>
      <c r="D13" s="1607">
        <f>'Expenditures 15-22'!K129</f>
        <v>273418</v>
      </c>
      <c r="E13" s="1576" t="s">
        <v>1159</v>
      </c>
      <c r="F13" s="1607">
        <f>'Expenditures 15-22'!K184</f>
        <v>146131</v>
      </c>
      <c r="G13" s="1607">
        <f>'Expenditures 15-22'!K279</f>
        <v>21663</v>
      </c>
      <c r="H13" s="1607">
        <f>'Expenditures 15-22'!K303</f>
        <v>0</v>
      </c>
      <c r="I13" s="1575" t="s">
        <v>1159</v>
      </c>
      <c r="J13" s="1607">
        <f>'Expenditures 15-22'!K330</f>
        <v>88224</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144569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5850</v>
      </c>
      <c r="K15" s="1607">
        <f>'Expenditures 15-22'!K357</f>
        <v>0</v>
      </c>
      <c r="L15" s="325"/>
    </row>
    <row r="16" spans="1:13" ht="15.75" customHeight="1" x14ac:dyDescent="0.2">
      <c r="A16" s="1314" t="s">
        <v>447</v>
      </c>
      <c r="B16" s="1316">
        <v>5000</v>
      </c>
      <c r="C16" s="1607">
        <f>'Expenditures 15-22'!K112</f>
        <v>368</v>
      </c>
      <c r="D16" s="1607">
        <f>'Expenditures 15-22'!K149</f>
        <v>11389</v>
      </c>
      <c r="E16" s="1607">
        <f>'Expenditures 15-22'!K172</f>
        <v>410121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1526776</v>
      </c>
      <c r="D17" s="1594">
        <f t="shared" si="2"/>
        <v>284807</v>
      </c>
      <c r="E17" s="1594">
        <f t="shared" si="2"/>
        <v>410121</v>
      </c>
      <c r="F17" s="1594">
        <f t="shared" si="2"/>
        <v>146131</v>
      </c>
      <c r="G17" s="1594">
        <f t="shared" si="2"/>
        <v>40894</v>
      </c>
      <c r="H17" s="1594">
        <f t="shared" si="2"/>
        <v>0</v>
      </c>
      <c r="I17" s="1575"/>
      <c r="J17" s="1594">
        <f>SUM(J12:J16)</f>
        <v>94074</v>
      </c>
      <c r="K17" s="1594">
        <f>SUM(K12:K16)</f>
        <v>0</v>
      </c>
      <c r="L17" s="325"/>
    </row>
    <row r="18" spans="1:12" ht="15" customHeight="1" thickTop="1" x14ac:dyDescent="0.2">
      <c r="A18" s="1430" t="s">
        <v>1635</v>
      </c>
      <c r="B18" s="1431">
        <v>4180</v>
      </c>
      <c r="C18" s="1606">
        <f t="shared" ref="C18:H18" si="3">C9</f>
        <v>782629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2309405</v>
      </c>
      <c r="D19" s="1594">
        <f t="shared" si="4"/>
        <v>284807</v>
      </c>
      <c r="E19" s="1594">
        <f t="shared" si="4"/>
        <v>410121</v>
      </c>
      <c r="F19" s="1594">
        <f t="shared" si="4"/>
        <v>146131</v>
      </c>
      <c r="G19" s="1594">
        <f t="shared" si="4"/>
        <v>40894</v>
      </c>
      <c r="H19" s="1594">
        <f t="shared" si="4"/>
        <v>0</v>
      </c>
      <c r="I19" s="1575"/>
      <c r="J19" s="1594">
        <f>SUM(J17:J18)</f>
        <v>94074</v>
      </c>
      <c r="K19" s="1594">
        <f>SUM(K17:K18)</f>
        <v>0</v>
      </c>
      <c r="L19" s="325"/>
    </row>
    <row r="20" spans="1:12" ht="16.5" thickTop="1" thickBot="1" x14ac:dyDescent="0.25">
      <c r="A20" s="2231" t="s">
        <v>1636</v>
      </c>
      <c r="B20" s="2232"/>
      <c r="C20" s="1622">
        <f>C8-C17</f>
        <v>105097</v>
      </c>
      <c r="D20" s="1622">
        <f t="shared" ref="D20:K20" si="5">D8-D17</f>
        <v>464217</v>
      </c>
      <c r="E20" s="1622">
        <f t="shared" si="5"/>
        <v>-348701</v>
      </c>
      <c r="F20" s="1622">
        <f t="shared" si="5"/>
        <v>56257</v>
      </c>
      <c r="G20" s="1622">
        <f t="shared" si="5"/>
        <v>4191</v>
      </c>
      <c r="H20" s="1622">
        <f t="shared" si="5"/>
        <v>0</v>
      </c>
      <c r="I20" s="1622">
        <f t="shared" si="5"/>
        <v>59010</v>
      </c>
      <c r="J20" s="1622">
        <f t="shared" si="5"/>
        <v>-4155</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59010</v>
      </c>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v>115000</v>
      </c>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v>29404</v>
      </c>
      <c r="D43" s="1574"/>
      <c r="E43" s="1574">
        <v>362081</v>
      </c>
      <c r="F43" s="1574"/>
      <c r="G43" s="1574"/>
      <c r="H43" s="1574"/>
      <c r="I43" s="1574"/>
      <c r="J43" s="1574"/>
      <c r="K43" s="1574"/>
      <c r="L43" s="453"/>
    </row>
    <row r="44" spans="1:12" s="433" customFormat="1" ht="13.5" customHeight="1" thickBot="1" x14ac:dyDescent="0.25">
      <c r="A44" s="2245" t="s">
        <v>371</v>
      </c>
      <c r="B44" s="2246"/>
      <c r="C44" s="1624">
        <f>SUM(C24:C43)</f>
        <v>88414</v>
      </c>
      <c r="D44" s="1624">
        <f t="shared" ref="D44:K44" si="6">SUM(D24:D43)</f>
        <v>115000</v>
      </c>
      <c r="E44" s="1624">
        <f t="shared" si="6"/>
        <v>362081</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59010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v>115000</v>
      </c>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v>19904</v>
      </c>
      <c r="D75" s="1627">
        <v>362081</v>
      </c>
      <c r="E75" s="1626"/>
      <c r="F75" s="1628"/>
      <c r="G75" s="1628"/>
      <c r="H75" s="1628"/>
      <c r="I75" s="1626"/>
      <c r="J75" s="1626"/>
      <c r="K75" s="1628"/>
      <c r="L75" s="453"/>
    </row>
    <row r="76" spans="1:12" s="433" customFormat="1" ht="14.25" thickTop="1" thickBot="1" x14ac:dyDescent="0.25">
      <c r="A76" s="2221" t="s">
        <v>437</v>
      </c>
      <c r="B76" s="2222"/>
      <c r="C76" s="1624">
        <f t="shared" ref="C76:K76" si="7">SUM(C47:C75)</f>
        <v>19904</v>
      </c>
      <c r="D76" s="1624">
        <f t="shared" si="7"/>
        <v>362081</v>
      </c>
      <c r="E76" s="1624">
        <f t="shared" si="7"/>
        <v>0</v>
      </c>
      <c r="F76" s="1624">
        <f t="shared" si="7"/>
        <v>115000</v>
      </c>
      <c r="G76" s="1624">
        <f t="shared" si="7"/>
        <v>0</v>
      </c>
      <c r="H76" s="1624">
        <f t="shared" si="7"/>
        <v>0</v>
      </c>
      <c r="I76" s="1624">
        <f t="shared" si="7"/>
        <v>59010</v>
      </c>
      <c r="J76" s="1624">
        <f t="shared" si="7"/>
        <v>0</v>
      </c>
      <c r="K76" s="1624">
        <f t="shared" si="7"/>
        <v>0</v>
      </c>
      <c r="L76" s="453"/>
    </row>
    <row r="77" spans="1:12" ht="14.25" thickTop="1" thickBot="1" x14ac:dyDescent="0.25">
      <c r="A77" s="2223" t="s">
        <v>1167</v>
      </c>
      <c r="B77" s="2224"/>
      <c r="C77" s="1624">
        <f t="shared" ref="C77:K77" si="8">C44-C76</f>
        <v>68510</v>
      </c>
      <c r="D77" s="1624">
        <f t="shared" si="8"/>
        <v>-247081</v>
      </c>
      <c r="E77" s="1624">
        <f t="shared" si="8"/>
        <v>362081</v>
      </c>
      <c r="F77" s="1624">
        <f t="shared" si="8"/>
        <v>-115000</v>
      </c>
      <c r="G77" s="1624">
        <f t="shared" si="8"/>
        <v>0</v>
      </c>
      <c r="H77" s="1624">
        <f t="shared" si="8"/>
        <v>0</v>
      </c>
      <c r="I77" s="1624">
        <f t="shared" si="8"/>
        <v>-59010</v>
      </c>
      <c r="J77" s="1624">
        <f t="shared" si="8"/>
        <v>0</v>
      </c>
      <c r="K77" s="1624">
        <f t="shared" si="8"/>
        <v>0</v>
      </c>
      <c r="L77" s="325"/>
    </row>
    <row r="78" spans="1:12" ht="21.75" customHeight="1" thickTop="1" thickBot="1" x14ac:dyDescent="0.25">
      <c r="A78" s="2227" t="s">
        <v>593</v>
      </c>
      <c r="B78" s="2228"/>
      <c r="C78" s="1629">
        <f t="shared" ref="C78:K78" si="9">C20+C77</f>
        <v>173607</v>
      </c>
      <c r="D78" s="1629">
        <f t="shared" si="9"/>
        <v>217136</v>
      </c>
      <c r="E78" s="1629">
        <f t="shared" si="9"/>
        <v>13380</v>
      </c>
      <c r="F78" s="1629">
        <f t="shared" si="9"/>
        <v>-58743</v>
      </c>
      <c r="G78" s="1629">
        <f t="shared" si="9"/>
        <v>4191</v>
      </c>
      <c r="H78" s="1629">
        <f t="shared" si="9"/>
        <v>0</v>
      </c>
      <c r="I78" s="1629">
        <f t="shared" si="9"/>
        <v>0</v>
      </c>
      <c r="J78" s="1629">
        <f t="shared" si="9"/>
        <v>-4155</v>
      </c>
      <c r="K78" s="1629">
        <f t="shared" si="9"/>
        <v>0</v>
      </c>
      <c r="L78" s="457"/>
    </row>
    <row r="79" spans="1:12" ht="13.5" thickTop="1" x14ac:dyDescent="0.2">
      <c r="A79" s="1844" t="str">
        <f>"Fund Balances - July 1, "&amp;'AFR20'!E2-1</f>
        <v>Fund Balances - July 1, 2019</v>
      </c>
      <c r="B79" s="458"/>
      <c r="C79" s="1583">
        <v>2721405</v>
      </c>
      <c r="D79" s="1630">
        <v>669729</v>
      </c>
      <c r="E79" s="1630">
        <v>234199</v>
      </c>
      <c r="F79" s="1630">
        <v>227846</v>
      </c>
      <c r="G79" s="1630">
        <v>66228</v>
      </c>
      <c r="H79" s="1630"/>
      <c r="I79" s="1630"/>
      <c r="J79" s="1630">
        <v>36194</v>
      </c>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2895012</v>
      </c>
      <c r="D81" s="1594">
        <f>SUM(D78:D80)</f>
        <v>886865</v>
      </c>
      <c r="E81" s="1594">
        <f t="shared" ref="E81:K81" si="10">SUM(E78:E80)</f>
        <v>247579</v>
      </c>
      <c r="F81" s="1594">
        <f t="shared" si="10"/>
        <v>169103</v>
      </c>
      <c r="G81" s="1594">
        <f t="shared" si="10"/>
        <v>70419</v>
      </c>
      <c r="H81" s="1594">
        <f t="shared" si="10"/>
        <v>0</v>
      </c>
      <c r="I81" s="1594">
        <f t="shared" si="10"/>
        <v>0</v>
      </c>
      <c r="J81" s="1594">
        <f t="shared" si="10"/>
        <v>32039</v>
      </c>
      <c r="K81" s="1594">
        <f t="shared" si="10"/>
        <v>0</v>
      </c>
      <c r="L81" s="325"/>
    </row>
    <row r="82" spans="1:12" ht="0.75" customHeight="1" thickTop="1" thickBot="1" x14ac:dyDescent="0.25">
      <c r="A82" s="459" t="s">
        <v>340</v>
      </c>
      <c r="B82" s="460"/>
      <c r="C82" s="461">
        <f>(C81-C79)</f>
        <v>173607</v>
      </c>
      <c r="D82" s="461">
        <f t="shared" ref="D82:K82" si="11">(D81-D79)</f>
        <v>217136</v>
      </c>
      <c r="E82" s="461">
        <f t="shared" si="11"/>
        <v>13380</v>
      </c>
      <c r="F82" s="461">
        <f t="shared" si="11"/>
        <v>-58743</v>
      </c>
      <c r="G82" s="461">
        <f t="shared" si="11"/>
        <v>4191</v>
      </c>
      <c r="H82" s="461">
        <f t="shared" si="11"/>
        <v>0</v>
      </c>
      <c r="I82" s="461">
        <f t="shared" si="11"/>
        <v>0</v>
      </c>
      <c r="J82" s="461">
        <f t="shared" si="11"/>
        <v>-4155</v>
      </c>
      <c r="K82" s="461">
        <f t="shared" si="11"/>
        <v>0</v>
      </c>
    </row>
    <row r="83" spans="1:12" ht="14.25" hidden="1" thickTop="1" thickBot="1" x14ac:dyDescent="0.25">
      <c r="A83" s="462" t="s">
        <v>341</v>
      </c>
      <c r="B83" s="428"/>
      <c r="C83" s="463">
        <f>C82/C81</f>
        <v>5.9967627077193462E-2</v>
      </c>
      <c r="D83" s="463">
        <f t="shared" ref="D83:K83" si="12">D82/D81</f>
        <v>0.24483545973738957</v>
      </c>
      <c r="E83" s="463">
        <f t="shared" si="12"/>
        <v>5.4043355858130131E-2</v>
      </c>
      <c r="F83" s="463">
        <f t="shared" si="12"/>
        <v>-0.34737999917210222</v>
      </c>
      <c r="G83" s="463">
        <f t="shared" si="12"/>
        <v>5.951518766242065E-2</v>
      </c>
      <c r="H83" s="463" t="e">
        <f t="shared" si="12"/>
        <v>#DIV/0!</v>
      </c>
      <c r="I83" s="463" t="e">
        <f t="shared" si="12"/>
        <v>#DIV/0!</v>
      </c>
      <c r="J83" s="463">
        <f t="shared" si="12"/>
        <v>-0.12968569555853804</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4" activePane="bottomLeft" state="frozen"/>
      <selection pane="bottomLeft" activeCell="C65" sqref="C65:K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1084216</v>
      </c>
      <c r="D5" s="1586">
        <v>294624</v>
      </c>
      <c r="E5" s="1573">
        <v>60890</v>
      </c>
      <c r="F5" s="1631">
        <v>141419</v>
      </c>
      <c r="G5" s="1573">
        <v>19966</v>
      </c>
      <c r="H5" s="1573"/>
      <c r="I5" s="1573">
        <v>58925</v>
      </c>
      <c r="J5" s="1574">
        <v>89825</v>
      </c>
      <c r="K5" s="1573"/>
    </row>
    <row r="6" spans="1:12" ht="15" x14ac:dyDescent="0.2">
      <c r="A6" s="427" t="s">
        <v>1643</v>
      </c>
      <c r="B6" s="429">
        <v>1130</v>
      </c>
      <c r="C6" s="1573">
        <v>19966</v>
      </c>
      <c r="D6" s="1573"/>
      <c r="E6" s="1580"/>
      <c r="F6" s="1580"/>
      <c r="G6" s="1575"/>
      <c r="H6" s="1575"/>
      <c r="I6" s="1575"/>
      <c r="J6" s="1575"/>
      <c r="K6" s="1575"/>
    </row>
    <row r="7" spans="1:12" x14ac:dyDescent="0.2">
      <c r="A7" s="427" t="s">
        <v>110</v>
      </c>
      <c r="B7" s="471">
        <v>1140</v>
      </c>
      <c r="C7" s="1573">
        <v>23570</v>
      </c>
      <c r="D7" s="1573"/>
      <c r="E7" s="1575"/>
      <c r="F7" s="1574"/>
      <c r="G7" s="1574"/>
      <c r="H7" s="1574"/>
      <c r="I7" s="1575"/>
      <c r="J7" s="1575"/>
      <c r="K7" s="1575"/>
    </row>
    <row r="8" spans="1:12" x14ac:dyDescent="0.2">
      <c r="A8" s="427" t="s">
        <v>410</v>
      </c>
      <c r="B8" s="429">
        <v>1150</v>
      </c>
      <c r="C8" s="1580"/>
      <c r="D8" s="1580"/>
      <c r="E8" s="1582"/>
      <c r="F8" s="1582"/>
      <c r="G8" s="1586">
        <v>19966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1127752</v>
      </c>
      <c r="D12" s="1633">
        <f t="shared" si="0"/>
        <v>294624</v>
      </c>
      <c r="E12" s="1633">
        <f t="shared" si="0"/>
        <v>60890</v>
      </c>
      <c r="F12" s="1633">
        <f t="shared" si="0"/>
        <v>141419</v>
      </c>
      <c r="G12" s="1633">
        <f t="shared" si="0"/>
        <v>39932</v>
      </c>
      <c r="H12" s="1633">
        <f t="shared" si="0"/>
        <v>0</v>
      </c>
      <c r="I12" s="1633">
        <f t="shared" si="0"/>
        <v>58925</v>
      </c>
      <c r="J12" s="1633">
        <f t="shared" si="0"/>
        <v>89825</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5000</v>
      </c>
      <c r="D16" s="1573">
        <v>250015</v>
      </c>
      <c r="E16" s="1573"/>
      <c r="F16" s="1573"/>
      <c r="G16" s="1573">
        <v>5000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5000</v>
      </c>
      <c r="D18" s="1635">
        <f t="shared" ref="D18:K18" si="1">SUM(D14:D17)</f>
        <v>250015</v>
      </c>
      <c r="E18" s="1635">
        <f t="shared" si="1"/>
        <v>0</v>
      </c>
      <c r="F18" s="1635">
        <f t="shared" si="1"/>
        <v>0</v>
      </c>
      <c r="G18" s="1635">
        <f t="shared" si="1"/>
        <v>5000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8700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8700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47980</v>
      </c>
      <c r="D65" s="1573">
        <v>1293</v>
      </c>
      <c r="E65" s="1573">
        <v>530</v>
      </c>
      <c r="F65" s="1574">
        <v>539</v>
      </c>
      <c r="G65" s="1573">
        <v>153</v>
      </c>
      <c r="H65" s="1573"/>
      <c r="I65" s="1573">
        <v>85</v>
      </c>
      <c r="J65" s="1574">
        <v>94</v>
      </c>
      <c r="K65" s="1573"/>
    </row>
    <row r="66" spans="1:11" ht="12.75" customHeight="1" x14ac:dyDescent="0.2">
      <c r="A66" s="427" t="s">
        <v>674</v>
      </c>
      <c r="B66" s="429">
        <v>1520</v>
      </c>
      <c r="C66" s="1573">
        <v>52358</v>
      </c>
      <c r="D66" s="1573"/>
      <c r="E66" s="1573"/>
      <c r="F66" s="1573"/>
      <c r="G66" s="1573"/>
      <c r="H66" s="1573"/>
      <c r="I66" s="1573"/>
      <c r="J66" s="1574"/>
      <c r="K66" s="1573"/>
    </row>
    <row r="67" spans="1:11" ht="12.75" customHeight="1" thickBot="1" x14ac:dyDescent="0.25">
      <c r="A67" s="1406" t="s">
        <v>483</v>
      </c>
      <c r="B67" s="1407"/>
      <c r="C67" s="1594">
        <f>SUM(C65:C66)</f>
        <v>100338</v>
      </c>
      <c r="D67" s="1594">
        <f t="shared" ref="D67:K67" si="2">SUM(D65:D66)</f>
        <v>1293</v>
      </c>
      <c r="E67" s="1594">
        <f t="shared" si="2"/>
        <v>530</v>
      </c>
      <c r="F67" s="1594">
        <f t="shared" si="2"/>
        <v>539</v>
      </c>
      <c r="G67" s="1594">
        <f t="shared" si="2"/>
        <v>153</v>
      </c>
      <c r="H67" s="1594">
        <f t="shared" si="2"/>
        <v>0</v>
      </c>
      <c r="I67" s="1594">
        <f t="shared" si="2"/>
        <v>85</v>
      </c>
      <c r="J67" s="1594">
        <f t="shared" si="2"/>
        <v>94</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12876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12876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4919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1094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6013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6630</v>
      </c>
      <c r="D84" s="1575"/>
      <c r="E84" s="1575"/>
      <c r="F84" s="1575"/>
      <c r="G84" s="1575"/>
      <c r="H84" s="1575"/>
      <c r="I84" s="1575"/>
      <c r="J84" s="1575"/>
      <c r="K84" s="1575"/>
    </row>
    <row r="85" spans="1:11" ht="12.75" customHeight="1" x14ac:dyDescent="0.2">
      <c r="A85" s="427" t="s">
        <v>549</v>
      </c>
      <c r="B85" s="429">
        <v>1812</v>
      </c>
      <c r="C85" s="1632">
        <v>2560</v>
      </c>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9190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500</v>
      </c>
      <c r="E95" s="1617"/>
      <c r="F95" s="1617"/>
      <c r="G95" s="1617"/>
      <c r="H95" s="1617"/>
      <c r="I95" s="1617"/>
      <c r="J95" s="1617"/>
      <c r="K95" s="1617"/>
    </row>
    <row r="96" spans="1:11" ht="12.75" customHeight="1" x14ac:dyDescent="0.2">
      <c r="A96" s="427" t="s">
        <v>388</v>
      </c>
      <c r="B96" s="429">
        <v>1920</v>
      </c>
      <c r="C96" s="1632">
        <v>5655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v>139842</v>
      </c>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v>1168</v>
      </c>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16339</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4233</v>
      </c>
      <c r="D107" s="1573">
        <v>12750</v>
      </c>
      <c r="E107" s="1573"/>
      <c r="F107" s="1573"/>
      <c r="G107" s="1573"/>
      <c r="H107" s="1573"/>
      <c r="I107" s="1573"/>
      <c r="J107" s="1574"/>
      <c r="K107" s="1573"/>
    </row>
    <row r="108" spans="1:12" ht="12.75" customHeight="1" thickBot="1" x14ac:dyDescent="0.25">
      <c r="A108" s="1406" t="s">
        <v>484</v>
      </c>
      <c r="B108" s="1408"/>
      <c r="C108" s="1633">
        <f>SUM(C95:C107)</f>
        <v>27395</v>
      </c>
      <c r="D108" s="1633">
        <f t="shared" ref="D108:K108" si="3">SUM(D95:D107)</f>
        <v>153092</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1297264</v>
      </c>
      <c r="D109" s="1641">
        <f t="shared" si="4"/>
        <v>699024</v>
      </c>
      <c r="E109" s="1641">
        <f t="shared" si="4"/>
        <v>61420</v>
      </c>
      <c r="F109" s="1641">
        <f t="shared" si="4"/>
        <v>141958</v>
      </c>
      <c r="G109" s="1641">
        <f t="shared" si="4"/>
        <v>45085</v>
      </c>
      <c r="H109" s="1641">
        <f t="shared" si="4"/>
        <v>0</v>
      </c>
      <c r="I109" s="1641">
        <f t="shared" si="4"/>
        <v>59010</v>
      </c>
      <c r="J109" s="1641">
        <f t="shared" si="4"/>
        <v>89919</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213918</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213918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134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58908</v>
      </c>
      <c r="G152" s="1574"/>
      <c r="H152" s="1575"/>
      <c r="I152" s="1575"/>
      <c r="J152" s="1575"/>
      <c r="K152" s="1575"/>
    </row>
    <row r="153" spans="1:11" ht="12.75" customHeight="1" x14ac:dyDescent="0.2">
      <c r="A153" s="427" t="s">
        <v>1048</v>
      </c>
      <c r="B153" s="478">
        <v>3510</v>
      </c>
      <c r="C153" s="1632"/>
      <c r="D153" s="1573"/>
      <c r="E153" s="1640"/>
      <c r="F153" s="1573">
        <v>1522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60430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3842</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3976</v>
      </c>
      <c r="D169" s="1658">
        <f t="shared" si="6"/>
        <v>50000</v>
      </c>
      <c r="E169" s="1658">
        <f t="shared" si="6"/>
        <v>0</v>
      </c>
      <c r="F169" s="1658">
        <f t="shared" si="6"/>
        <v>60430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217894</v>
      </c>
      <c r="D170" s="1641">
        <f t="shared" si="7"/>
        <v>50000</v>
      </c>
      <c r="E170" s="1641">
        <f t="shared" si="7"/>
        <v>0</v>
      </c>
      <c r="F170" s="1641">
        <f t="shared" si="7"/>
        <v>60430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15372</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15372</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10173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10173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21360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21360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13541</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13541</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1620</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49433</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51053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943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4130</v>
      </c>
      <c r="D263" s="1651"/>
      <c r="E263" s="1575"/>
      <c r="F263" s="1651"/>
      <c r="G263" s="1651"/>
      <c r="H263" s="1575"/>
      <c r="I263" s="1575"/>
      <c r="J263" s="1575"/>
      <c r="K263" s="1575"/>
    </row>
    <row r="264" spans="1:11" ht="12.75" customHeight="1" thickTop="1" thickBot="1" x14ac:dyDescent="0.25">
      <c r="A264" s="427" t="s">
        <v>374</v>
      </c>
      <c r="B264" s="429">
        <v>4992</v>
      </c>
      <c r="C264" s="1650">
        <v>143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116715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116715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1631873</v>
      </c>
      <c r="D268" s="1641">
        <f t="shared" si="12"/>
        <v>749024</v>
      </c>
      <c r="E268" s="1641">
        <f t="shared" si="12"/>
        <v>61420</v>
      </c>
      <c r="F268" s="1641">
        <f t="shared" si="12"/>
        <v>202388</v>
      </c>
      <c r="G268" s="1641">
        <f t="shared" si="12"/>
        <v>45085</v>
      </c>
      <c r="H268" s="1641">
        <f t="shared" si="12"/>
        <v>0</v>
      </c>
      <c r="I268" s="1641">
        <f t="shared" si="12"/>
        <v>59010</v>
      </c>
      <c r="J268" s="1641">
        <f t="shared" si="12"/>
        <v>89919</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2" activePane="bottomLeft" state="frozen"/>
      <selection pane="bottomLeft" activeCell="H334" sqref="H33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674522</v>
      </c>
      <c r="D5" s="1573">
        <v>132552</v>
      </c>
      <c r="E5" s="1573">
        <v>30922</v>
      </c>
      <c r="F5" s="1573">
        <v>63564</v>
      </c>
      <c r="G5" s="1573"/>
      <c r="H5" s="1573">
        <v>100</v>
      </c>
      <c r="I5" s="1574"/>
      <c r="J5" s="1574"/>
      <c r="K5" s="1672">
        <f>SUM(C5:J5)</f>
        <v>901660</v>
      </c>
      <c r="L5" s="1573">
        <v>938040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56342</v>
      </c>
      <c r="D8" s="1573">
        <v>5766</v>
      </c>
      <c r="E8" s="1573">
        <v>364</v>
      </c>
      <c r="F8" s="1573">
        <v>726</v>
      </c>
      <c r="G8" s="1573"/>
      <c r="H8" s="1573"/>
      <c r="I8" s="1574"/>
      <c r="J8" s="1574"/>
      <c r="K8" s="1672">
        <f t="shared" si="0"/>
        <v>63198</v>
      </c>
      <c r="L8" s="1573">
        <v>58426</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18505</v>
      </c>
      <c r="D14" s="1573"/>
      <c r="E14" s="1573">
        <v>2852</v>
      </c>
      <c r="F14" s="1573">
        <v>1779</v>
      </c>
      <c r="G14" s="1573"/>
      <c r="H14" s="1573">
        <v>2006</v>
      </c>
      <c r="I14" s="1574"/>
      <c r="J14" s="1574"/>
      <c r="K14" s="1672">
        <f t="shared" si="0"/>
        <v>25142</v>
      </c>
      <c r="L14" s="1573">
        <v>27875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749369</v>
      </c>
      <c r="D33" s="1674">
        <f t="shared" ref="D33:L33" si="1">SUM(D5:D32)</f>
        <v>138318</v>
      </c>
      <c r="E33" s="1674">
        <f t="shared" si="1"/>
        <v>34138</v>
      </c>
      <c r="F33" s="1674">
        <f t="shared" si="1"/>
        <v>66069</v>
      </c>
      <c r="G33" s="1674">
        <f t="shared" si="1"/>
        <v>0</v>
      </c>
      <c r="H33" s="1674">
        <f t="shared" si="1"/>
        <v>2106</v>
      </c>
      <c r="I33" s="1674">
        <f t="shared" si="1"/>
        <v>0</v>
      </c>
      <c r="J33" s="1674">
        <f t="shared" si="1"/>
        <v>0</v>
      </c>
      <c r="K33" s="1674">
        <f t="shared" si="1"/>
        <v>990000</v>
      </c>
      <c r="L33" s="1674">
        <f t="shared" si="1"/>
        <v>1024341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11110</v>
      </c>
      <c r="D36" s="1586">
        <v>167</v>
      </c>
      <c r="E36" s="1586"/>
      <c r="F36" s="1586"/>
      <c r="G36" s="1586"/>
      <c r="H36" s="1586"/>
      <c r="I36" s="1574"/>
      <c r="J36" s="1574"/>
      <c r="K36" s="1672">
        <f t="shared" ref="K36:K41" si="2">SUM(C36:J36)</f>
        <v>11277</v>
      </c>
      <c r="L36" s="1573">
        <v>13955</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1000</v>
      </c>
      <c r="D38" s="1573"/>
      <c r="E38" s="1573"/>
      <c r="F38" s="1573">
        <v>115</v>
      </c>
      <c r="G38" s="1573"/>
      <c r="H38" s="1573"/>
      <c r="I38" s="1574"/>
      <c r="J38" s="1574"/>
      <c r="K38" s="1672">
        <f t="shared" si="2"/>
        <v>1115</v>
      </c>
      <c r="L38" s="1573">
        <v>2000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v>7739</v>
      </c>
      <c r="F41" s="1573"/>
      <c r="G41" s="1573"/>
      <c r="H41" s="1573"/>
      <c r="I41" s="1574"/>
      <c r="J41" s="1574"/>
      <c r="K41" s="1672">
        <f t="shared" si="2"/>
        <v>7739</v>
      </c>
      <c r="L41" s="1573">
        <v>15000</v>
      </c>
    </row>
    <row r="42" spans="1:14" ht="12.75" customHeight="1" thickBot="1" x14ac:dyDescent="0.25">
      <c r="A42" s="1380" t="s">
        <v>556</v>
      </c>
      <c r="B42" s="1381" t="s">
        <v>711</v>
      </c>
      <c r="C42" s="1674">
        <f>SUM(C36:C41)</f>
        <v>12110</v>
      </c>
      <c r="D42" s="1674">
        <f t="shared" ref="D42:L42" si="3">SUM(D36:D41)</f>
        <v>167</v>
      </c>
      <c r="E42" s="1674">
        <f t="shared" si="3"/>
        <v>7739</v>
      </c>
      <c r="F42" s="1674">
        <f t="shared" si="3"/>
        <v>115</v>
      </c>
      <c r="G42" s="1674">
        <f t="shared" si="3"/>
        <v>0</v>
      </c>
      <c r="H42" s="1674">
        <f t="shared" si="3"/>
        <v>0</v>
      </c>
      <c r="I42" s="1674">
        <f t="shared" si="3"/>
        <v>0</v>
      </c>
      <c r="J42" s="1674">
        <f t="shared" si="3"/>
        <v>0</v>
      </c>
      <c r="K42" s="1674">
        <f t="shared" si="3"/>
        <v>20131</v>
      </c>
      <c r="L42" s="1674">
        <f t="shared" si="3"/>
        <v>30955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12794</v>
      </c>
      <c r="D44" s="1586"/>
      <c r="E44" s="1586">
        <v>2685</v>
      </c>
      <c r="F44" s="1586">
        <v>28913</v>
      </c>
      <c r="G44" s="1586"/>
      <c r="H44" s="1586"/>
      <c r="I44" s="1574"/>
      <c r="J44" s="1574"/>
      <c r="K44" s="1678">
        <f>SUM(C44:J44)</f>
        <v>44392</v>
      </c>
      <c r="L44" s="1586">
        <v>45620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v>1079</v>
      </c>
      <c r="G46" s="1573"/>
      <c r="H46" s="1573"/>
      <c r="I46" s="1574"/>
      <c r="J46" s="1574"/>
      <c r="K46" s="1678">
        <f>SUM(C46:J46)</f>
        <v>1079</v>
      </c>
      <c r="L46" s="1573">
        <v>1100</v>
      </c>
    </row>
    <row r="47" spans="1:14" ht="12.75" customHeight="1" thickBot="1" x14ac:dyDescent="0.25">
      <c r="A47" s="1380" t="s">
        <v>557</v>
      </c>
      <c r="B47" s="1381" t="s">
        <v>32</v>
      </c>
      <c r="C47" s="1674">
        <f>SUM(C44:C46)</f>
        <v>12794</v>
      </c>
      <c r="D47" s="1674">
        <f t="shared" ref="D47:K47" si="4">SUM(D44:D46)</f>
        <v>0</v>
      </c>
      <c r="E47" s="1674">
        <f t="shared" si="4"/>
        <v>2685</v>
      </c>
      <c r="F47" s="1674">
        <f t="shared" si="4"/>
        <v>29992</v>
      </c>
      <c r="G47" s="1674">
        <f t="shared" si="4"/>
        <v>0</v>
      </c>
      <c r="H47" s="1674">
        <f t="shared" si="4"/>
        <v>0</v>
      </c>
      <c r="I47" s="1674">
        <f t="shared" si="4"/>
        <v>0</v>
      </c>
      <c r="J47" s="1674">
        <f t="shared" si="4"/>
        <v>0</v>
      </c>
      <c r="K47" s="1674">
        <f t="shared" si="4"/>
        <v>45471</v>
      </c>
      <c r="L47" s="1674">
        <f>SUM(L44:L46)</f>
        <v>46720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2460</v>
      </c>
      <c r="D49" s="1586"/>
      <c r="E49" s="1586">
        <v>36424</v>
      </c>
      <c r="F49" s="1586">
        <v>877</v>
      </c>
      <c r="G49" s="1586"/>
      <c r="H49" s="1586">
        <v>9518</v>
      </c>
      <c r="I49" s="1574"/>
      <c r="J49" s="1574"/>
      <c r="K49" s="1678">
        <f>SUM(C49:J49)</f>
        <v>49279</v>
      </c>
      <c r="L49" s="1586">
        <v>45660</v>
      </c>
    </row>
    <row r="50" spans="1:14" x14ac:dyDescent="0.2">
      <c r="A50" s="1274" t="s">
        <v>813</v>
      </c>
      <c r="B50" s="503">
        <v>2320</v>
      </c>
      <c r="C50" s="1573">
        <v>108976</v>
      </c>
      <c r="D50" s="1573">
        <v>36788</v>
      </c>
      <c r="E50" s="1573">
        <v>432</v>
      </c>
      <c r="F50" s="1573"/>
      <c r="G50" s="1573"/>
      <c r="H50" s="1573">
        <v>1164</v>
      </c>
      <c r="I50" s="1574"/>
      <c r="J50" s="1574"/>
      <c r="K50" s="1678">
        <f>SUM(C50:J50)</f>
        <v>147360</v>
      </c>
      <c r="L50" s="1573">
        <v>143116</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111436</v>
      </c>
      <c r="D53" s="1674">
        <f t="shared" ref="D53:L53" si="5">SUM(D49:D52)</f>
        <v>36788</v>
      </c>
      <c r="E53" s="1674">
        <f t="shared" si="5"/>
        <v>36856</v>
      </c>
      <c r="F53" s="1674">
        <f t="shared" si="5"/>
        <v>877</v>
      </c>
      <c r="G53" s="1674">
        <f t="shared" si="5"/>
        <v>0</v>
      </c>
      <c r="H53" s="1674">
        <f t="shared" si="5"/>
        <v>10682</v>
      </c>
      <c r="I53" s="1674">
        <f t="shared" si="5"/>
        <v>0</v>
      </c>
      <c r="J53" s="1674">
        <f t="shared" si="5"/>
        <v>0</v>
      </c>
      <c r="K53" s="1674">
        <f t="shared" si="5"/>
        <v>196639</v>
      </c>
      <c r="L53" s="1674">
        <f t="shared" si="5"/>
        <v>188776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76736</v>
      </c>
      <c r="D55" s="1586">
        <v>4412</v>
      </c>
      <c r="E55" s="1586">
        <v>567</v>
      </c>
      <c r="F55" s="1586"/>
      <c r="G55" s="1586"/>
      <c r="H55" s="1586"/>
      <c r="I55" s="1574"/>
      <c r="J55" s="1574"/>
      <c r="K55" s="1678">
        <f>SUM(C55:J55)</f>
        <v>81715</v>
      </c>
      <c r="L55" s="1586">
        <v>83001</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76736</v>
      </c>
      <c r="D57" s="1679">
        <f t="shared" ref="D57:K57" si="6">SUM(D55:D56)</f>
        <v>4412</v>
      </c>
      <c r="E57" s="1679">
        <f t="shared" si="6"/>
        <v>567</v>
      </c>
      <c r="F57" s="1679">
        <f t="shared" si="6"/>
        <v>0</v>
      </c>
      <c r="G57" s="1679">
        <f t="shared" si="6"/>
        <v>0</v>
      </c>
      <c r="H57" s="1679">
        <f t="shared" si="6"/>
        <v>0</v>
      </c>
      <c r="I57" s="1679">
        <f t="shared" si="6"/>
        <v>0</v>
      </c>
      <c r="J57" s="1679">
        <f t="shared" si="6"/>
        <v>0</v>
      </c>
      <c r="K57" s="1679">
        <f t="shared" si="6"/>
        <v>81715</v>
      </c>
      <c r="L57" s="1674">
        <f>SUM(L55:L56)</f>
        <v>83001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15200</v>
      </c>
      <c r="F60" s="1573"/>
      <c r="G60" s="1573"/>
      <c r="H60" s="1573"/>
      <c r="I60" s="1574"/>
      <c r="J60" s="1574"/>
      <c r="K60" s="1678">
        <f t="shared" si="7"/>
        <v>15200</v>
      </c>
      <c r="L60" s="1573">
        <v>15300</v>
      </c>
      <c r="M60" s="501"/>
      <c r="N60" s="501"/>
    </row>
    <row r="61" spans="1:14" s="321" customFormat="1" x14ac:dyDescent="0.2">
      <c r="A61" s="1274" t="s">
        <v>195</v>
      </c>
      <c r="B61" s="503">
        <v>2540</v>
      </c>
      <c r="C61" s="1573"/>
      <c r="D61" s="1573"/>
      <c r="E61" s="1573">
        <v>8502</v>
      </c>
      <c r="F61" s="1573"/>
      <c r="G61" s="1573"/>
      <c r="H61" s="1573"/>
      <c r="I61" s="1574"/>
      <c r="J61" s="1574"/>
      <c r="K61" s="1678">
        <f t="shared" si="7"/>
        <v>8502</v>
      </c>
      <c r="L61" s="1573">
        <v>8500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22630</v>
      </c>
      <c r="F63" s="1573">
        <v>1551</v>
      </c>
      <c r="G63" s="1573"/>
      <c r="H63" s="1573"/>
      <c r="I63" s="1574"/>
      <c r="J63" s="1574"/>
      <c r="K63" s="1678">
        <f t="shared" si="7"/>
        <v>24181</v>
      </c>
      <c r="L63" s="1573">
        <v>37950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46332</v>
      </c>
      <c r="F65" s="1674">
        <f t="shared" si="8"/>
        <v>1551</v>
      </c>
      <c r="G65" s="1674">
        <f t="shared" si="8"/>
        <v>0</v>
      </c>
      <c r="H65" s="1674">
        <f t="shared" si="8"/>
        <v>0</v>
      </c>
      <c r="I65" s="1674">
        <f t="shared" si="8"/>
        <v>0</v>
      </c>
      <c r="J65" s="1674">
        <f t="shared" si="8"/>
        <v>0</v>
      </c>
      <c r="K65" s="1674">
        <f t="shared" si="8"/>
        <v>47883</v>
      </c>
      <c r="L65" s="1674">
        <f t="shared" si="8"/>
        <v>61750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213076</v>
      </c>
      <c r="D74" s="1681">
        <f t="shared" ref="D74:K74" si="10">SUM(D42,D47,D53,D57,D65,D72,D73)</f>
        <v>41367</v>
      </c>
      <c r="E74" s="1681">
        <f t="shared" si="10"/>
        <v>94179</v>
      </c>
      <c r="F74" s="1681">
        <f t="shared" si="10"/>
        <v>32535</v>
      </c>
      <c r="G74" s="1681">
        <f t="shared" si="10"/>
        <v>0</v>
      </c>
      <c r="H74" s="1681">
        <f t="shared" si="10"/>
        <v>10682</v>
      </c>
      <c r="I74" s="1681">
        <f t="shared" si="10"/>
        <v>0</v>
      </c>
      <c r="J74" s="1681">
        <f t="shared" si="10"/>
        <v>0</v>
      </c>
      <c r="K74" s="1681">
        <f t="shared" si="10"/>
        <v>391839</v>
      </c>
      <c r="L74" s="1681">
        <f>SUM(L42,L47,L53,L57,L65,L72,L73)</f>
        <v>411202</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23500</v>
      </c>
    </row>
    <row r="79" spans="1:14" x14ac:dyDescent="0.2">
      <c r="A79" s="1274" t="s">
        <v>301</v>
      </c>
      <c r="B79" s="503">
        <v>4120</v>
      </c>
      <c r="C79" s="1673"/>
      <c r="D79" s="1673"/>
      <c r="E79" s="1573">
        <v>82212</v>
      </c>
      <c r="F79" s="1673"/>
      <c r="G79" s="1673"/>
      <c r="H79" s="1573">
        <v>62357</v>
      </c>
      <c r="I79" s="1582"/>
      <c r="J79" s="1582"/>
      <c r="K79" s="1672">
        <f t="shared" si="11"/>
        <v>144569</v>
      </c>
      <c r="L79" s="1573">
        <v>80283</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82212</v>
      </c>
      <c r="F84" s="1673"/>
      <c r="G84" s="1673"/>
      <c r="H84" s="1674">
        <f>SUM(H78:H83)</f>
        <v>62357</v>
      </c>
      <c r="I84" s="1582"/>
      <c r="J84" s="1582"/>
      <c r="K84" s="1674">
        <f>SUM(K78:K83)</f>
        <v>144569</v>
      </c>
      <c r="L84" s="1674">
        <f>SUM(L78:L83)</f>
        <v>103783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75000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75000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82212</v>
      </c>
      <c r="F102" s="1673"/>
      <c r="G102" s="1673"/>
      <c r="H102" s="1681">
        <f>SUM(H84,H92,H100,H101)</f>
        <v>62357</v>
      </c>
      <c r="I102" s="1582"/>
      <c r="J102" s="1582"/>
      <c r="K102" s="1681">
        <f>SUM(K84,K92,K100,K101)</f>
        <v>144569</v>
      </c>
      <c r="L102" s="1681">
        <f>SUM(L84,L92,L100,L101)</f>
        <v>178783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368</v>
      </c>
      <c r="I111" s="1575"/>
      <c r="J111" s="1575"/>
      <c r="K111" s="1688">
        <f>H111</f>
        <v>368</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368</v>
      </c>
      <c r="I112" s="1575"/>
      <c r="J112" s="1575"/>
      <c r="K112" s="1674">
        <f>SUM(K110:K111)</f>
        <v>368</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15000</v>
      </c>
      <c r="M113" s="502"/>
      <c r="N113" s="502"/>
    </row>
    <row r="114" spans="1:14" ht="12.75" customHeight="1" thickTop="1" thickBot="1" x14ac:dyDescent="0.25">
      <c r="A114" s="1380" t="s">
        <v>48</v>
      </c>
      <c r="B114" s="1388"/>
      <c r="C114" s="1674">
        <f>SUM(C33,C74,C75,C102,C112,C113)</f>
        <v>962445</v>
      </c>
      <c r="D114" s="1674">
        <f t="shared" ref="D114:K114" si="13">SUM(D33,D74,D75,D102,D112,D113)</f>
        <v>179685</v>
      </c>
      <c r="E114" s="1674">
        <f t="shared" si="13"/>
        <v>210529</v>
      </c>
      <c r="F114" s="1674">
        <f t="shared" si="13"/>
        <v>98604</v>
      </c>
      <c r="G114" s="1674">
        <f t="shared" si="13"/>
        <v>0</v>
      </c>
      <c r="H114" s="1674">
        <f>SUM(H33,H74,H75,H102,H112,H113)</f>
        <v>75513</v>
      </c>
      <c r="I114" s="1674">
        <f t="shared" si="13"/>
        <v>0</v>
      </c>
      <c r="J114" s="1674">
        <f t="shared" si="13"/>
        <v>0</v>
      </c>
      <c r="K114" s="1674">
        <f t="shared" si="13"/>
        <v>1526776</v>
      </c>
      <c r="L114" s="1674">
        <f>SUM(L33,L74,L75,L102,L112,L113)</f>
        <v>1629326</v>
      </c>
    </row>
    <row r="115" spans="1:14" ht="13.5" thickTop="1" x14ac:dyDescent="0.2">
      <c r="A115" s="2261" t="s">
        <v>989</v>
      </c>
      <c r="B115" s="2262"/>
      <c r="C115" s="1675"/>
      <c r="D115" s="1675"/>
      <c r="E115" s="1675"/>
      <c r="F115" s="1675"/>
      <c r="G115" s="1675"/>
      <c r="H115" s="1675"/>
      <c r="I115" s="1675"/>
      <c r="J115" s="1675"/>
      <c r="K115" s="1689">
        <f>'Revenues 9-14'!C268-'Expenditures 15-22'!K114</f>
        <v>105097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60163</v>
      </c>
      <c r="D124" s="1573">
        <v>28853</v>
      </c>
      <c r="E124" s="1573">
        <v>104761</v>
      </c>
      <c r="F124" s="1573">
        <v>56306</v>
      </c>
      <c r="G124" s="1573">
        <v>23335</v>
      </c>
      <c r="H124" s="1573"/>
      <c r="I124" s="1574"/>
      <c r="J124" s="1574"/>
      <c r="K124" s="1674">
        <f>SUM(C124:J124)</f>
        <v>273418</v>
      </c>
      <c r="L124" s="1573">
        <v>315425</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60163</v>
      </c>
      <c r="D127" s="1674">
        <f t="shared" ref="D127:L127" si="14">SUM(D122:D126)</f>
        <v>28853</v>
      </c>
      <c r="E127" s="1674">
        <f t="shared" si="14"/>
        <v>104761</v>
      </c>
      <c r="F127" s="1674">
        <f t="shared" si="14"/>
        <v>56306</v>
      </c>
      <c r="G127" s="1674">
        <f t="shared" si="14"/>
        <v>23335</v>
      </c>
      <c r="H127" s="1674">
        <f t="shared" si="14"/>
        <v>0</v>
      </c>
      <c r="I127" s="1674">
        <f t="shared" si="14"/>
        <v>0</v>
      </c>
      <c r="J127" s="1674">
        <f t="shared" si="14"/>
        <v>0</v>
      </c>
      <c r="K127" s="1674">
        <f t="shared" si="14"/>
        <v>273418</v>
      </c>
      <c r="L127" s="1674">
        <f t="shared" si="14"/>
        <v>315425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60163</v>
      </c>
      <c r="D129" s="1681">
        <f t="shared" ref="D129:L129" si="15">SUM(D120,D127,D128)</f>
        <v>28853</v>
      </c>
      <c r="E129" s="1681">
        <f t="shared" si="15"/>
        <v>104761</v>
      </c>
      <c r="F129" s="1681">
        <f t="shared" si="15"/>
        <v>56306</v>
      </c>
      <c r="G129" s="1681">
        <f t="shared" si="15"/>
        <v>23335</v>
      </c>
      <c r="H129" s="1681">
        <f t="shared" si="15"/>
        <v>0</v>
      </c>
      <c r="I129" s="1681">
        <f t="shared" si="15"/>
        <v>0</v>
      </c>
      <c r="J129" s="1681">
        <f t="shared" si="15"/>
        <v>0</v>
      </c>
      <c r="K129" s="1681">
        <f t="shared" si="15"/>
        <v>273418</v>
      </c>
      <c r="L129" s="1681">
        <f t="shared" si="15"/>
        <v>315425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11389</v>
      </c>
      <c r="I148" s="1575"/>
      <c r="J148" s="1673"/>
      <c r="K148" s="1678">
        <f>SUM(H148)</f>
        <v>11389</v>
      </c>
      <c r="L148" s="1599"/>
    </row>
    <row r="149" spans="1:14" ht="12.75" customHeight="1" thickBot="1" x14ac:dyDescent="0.25">
      <c r="A149" s="1277" t="s">
        <v>633</v>
      </c>
      <c r="B149" s="504" t="s">
        <v>489</v>
      </c>
      <c r="C149" s="1673"/>
      <c r="D149" s="1673"/>
      <c r="E149" s="1673"/>
      <c r="F149" s="1673"/>
      <c r="G149" s="1673"/>
      <c r="H149" s="1674">
        <f>SUM(H147,H148)</f>
        <v>11389</v>
      </c>
      <c r="I149" s="1575"/>
      <c r="J149" s="1673"/>
      <c r="K149" s="1674">
        <f>SUM(K147:K148)</f>
        <v>11389</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60163</v>
      </c>
      <c r="D151" s="1674">
        <f t="shared" ref="D151:K151" si="16">SUM(D129,D130,D139,D149,D150)</f>
        <v>28853</v>
      </c>
      <c r="E151" s="1674">
        <f t="shared" si="16"/>
        <v>104761</v>
      </c>
      <c r="F151" s="1674">
        <f t="shared" si="16"/>
        <v>56306</v>
      </c>
      <c r="G151" s="1674">
        <f t="shared" si="16"/>
        <v>23335</v>
      </c>
      <c r="H151" s="1674">
        <f t="shared" si="16"/>
        <v>11389</v>
      </c>
      <c r="I151" s="1674">
        <f t="shared" si="16"/>
        <v>0</v>
      </c>
      <c r="J151" s="1674">
        <f t="shared" si="16"/>
        <v>0</v>
      </c>
      <c r="K151" s="1674">
        <f t="shared" si="16"/>
        <v>284807</v>
      </c>
      <c r="L151" s="1674">
        <f>SUM(L129,L130,L139,L149,L150)</f>
        <v>315425</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464217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53121</v>
      </c>
      <c r="I169" s="1673"/>
      <c r="J169" s="1673"/>
      <c r="K169" s="1672">
        <f>SUM(C169:H169)</f>
        <v>53121</v>
      </c>
      <c r="L169" s="1695">
        <v>53120</v>
      </c>
    </row>
    <row r="170" spans="1:14" ht="33.75" customHeight="1" x14ac:dyDescent="0.2">
      <c r="A170" s="543" t="s">
        <v>1651</v>
      </c>
      <c r="B170" s="545" t="s">
        <v>31</v>
      </c>
      <c r="C170" s="1673"/>
      <c r="D170" s="1673"/>
      <c r="E170" s="1673"/>
      <c r="F170" s="1673"/>
      <c r="G170" s="1673"/>
      <c r="H170" s="1646">
        <v>355000</v>
      </c>
      <c r="I170" s="1673"/>
      <c r="J170" s="1673"/>
      <c r="K170" s="1672">
        <f>SUM(C170:J170)</f>
        <v>355000</v>
      </c>
      <c r="L170" s="1646">
        <v>355000</v>
      </c>
    </row>
    <row r="171" spans="1:14" ht="15.75" customHeight="1" x14ac:dyDescent="0.2">
      <c r="A171" s="507" t="s">
        <v>761</v>
      </c>
      <c r="B171" s="546" t="s">
        <v>84</v>
      </c>
      <c r="C171" s="1673"/>
      <c r="D171" s="1673"/>
      <c r="E171" s="1573"/>
      <c r="F171" s="1673"/>
      <c r="G171" s="1673"/>
      <c r="H171" s="1646">
        <v>2000</v>
      </c>
      <c r="I171" s="1582"/>
      <c r="J171" s="1673"/>
      <c r="K171" s="1672">
        <f>SUM(C171:J171)</f>
        <v>2000</v>
      </c>
      <c r="L171" s="1646">
        <v>2000</v>
      </c>
    </row>
    <row r="172" spans="1:14" ht="12.75" customHeight="1" thickBot="1" x14ac:dyDescent="0.25">
      <c r="A172" s="1380" t="s">
        <v>633</v>
      </c>
      <c r="B172" s="1381" t="s">
        <v>489</v>
      </c>
      <c r="C172" s="1673"/>
      <c r="D172" s="1673"/>
      <c r="E172" s="1681">
        <f>SUM(E168,E169,E170,E171)</f>
        <v>0</v>
      </c>
      <c r="F172" s="1673"/>
      <c r="G172" s="1673"/>
      <c r="H172" s="1681">
        <f>SUM(H168,H169,H170,H171)</f>
        <v>410121</v>
      </c>
      <c r="I172" s="1684"/>
      <c r="J172" s="1673"/>
      <c r="K172" s="1681">
        <f>SUM(K168,K169,K170,K171)</f>
        <v>410121</v>
      </c>
      <c r="L172" s="1681">
        <f>SUM(L168,L169,L170,L171)</f>
        <v>410120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410121</v>
      </c>
      <c r="I174" s="1684"/>
      <c r="J174" s="1673"/>
      <c r="K174" s="1681">
        <f>SUM(K160,K172,K173)</f>
        <v>410121</v>
      </c>
      <c r="L174" s="1681">
        <f>SUM(L160,L172,L173)</f>
        <v>410120</v>
      </c>
    </row>
    <row r="175" spans="1:14" ht="13.5" thickTop="1" x14ac:dyDescent="0.2">
      <c r="A175" s="2261" t="s">
        <v>989</v>
      </c>
      <c r="B175" s="2262"/>
      <c r="C175" s="1673"/>
      <c r="D175" s="1673"/>
      <c r="E175" s="1673"/>
      <c r="F175" s="1673"/>
      <c r="G175" s="1673"/>
      <c r="H175" s="1675"/>
      <c r="I175" s="1673"/>
      <c r="J175" s="1673"/>
      <c r="K175" s="1689">
        <f>'Revenues 9-14'!E268-'Expenditures 15-22'!K174</f>
        <v>-348701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146131</v>
      </c>
      <c r="F182" s="1573"/>
      <c r="G182" s="1573"/>
      <c r="H182" s="1573"/>
      <c r="I182" s="1574"/>
      <c r="J182" s="1574"/>
      <c r="K182" s="1672">
        <f>SUM(C182:J182)</f>
        <v>146131</v>
      </c>
      <c r="L182" s="1573">
        <v>189600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146131</v>
      </c>
      <c r="F184" s="1681">
        <f t="shared" si="17"/>
        <v>0</v>
      </c>
      <c r="G184" s="1681">
        <f t="shared" si="17"/>
        <v>0</v>
      </c>
      <c r="H184" s="1681">
        <f t="shared" si="17"/>
        <v>0</v>
      </c>
      <c r="I184" s="1681">
        <f t="shared" si="17"/>
        <v>0</v>
      </c>
      <c r="J184" s="1681">
        <f t="shared" si="17"/>
        <v>0</v>
      </c>
      <c r="K184" s="1681">
        <f>SUM(K180,K182,K183)</f>
        <v>146131</v>
      </c>
      <c r="L184" s="1681">
        <f>SUM(L180, L182:L183)</f>
        <v>189600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2000</v>
      </c>
    </row>
    <row r="210" spans="1:14" ht="12.75" customHeight="1" thickTop="1" thickBot="1" x14ac:dyDescent="0.25">
      <c r="A210" s="1394" t="s">
        <v>275</v>
      </c>
      <c r="B210" s="1395"/>
      <c r="C210" s="1674">
        <f>SUM(C184,C185)</f>
        <v>0</v>
      </c>
      <c r="D210" s="1674">
        <f>SUM(D184,D185)</f>
        <v>0</v>
      </c>
      <c r="E210" s="1674">
        <f>SUM(E184,E185,E196)</f>
        <v>146131</v>
      </c>
      <c r="F210" s="1674">
        <f>SUM(F184,F185)</f>
        <v>0</v>
      </c>
      <c r="G210" s="1674">
        <f>SUM(G184,G185)</f>
        <v>0</v>
      </c>
      <c r="H210" s="1674">
        <f>SUM(H184,H185,H196,H208,H209)</f>
        <v>0</v>
      </c>
      <c r="I210" s="1674">
        <f>SUM(I184,I185)</f>
        <v>0</v>
      </c>
      <c r="J210" s="1674">
        <f>SUM(J184,J185)</f>
        <v>0</v>
      </c>
      <c r="K210" s="1672">
        <f>SUM(K184,K185,K196,K208,K209)</f>
        <v>146131</v>
      </c>
      <c r="L210" s="1674">
        <f>SUM(L184,L185,L196,L208,L209)</f>
        <v>191600</v>
      </c>
    </row>
    <row r="211" spans="1:14" ht="13.5" thickTop="1" x14ac:dyDescent="0.2">
      <c r="A211" s="2261" t="s">
        <v>989</v>
      </c>
      <c r="B211" s="2262"/>
      <c r="C211" s="1675"/>
      <c r="D211" s="1675"/>
      <c r="E211" s="1675"/>
      <c r="F211" s="1675"/>
      <c r="G211" s="1675"/>
      <c r="H211" s="1675"/>
      <c r="I211" s="1673"/>
      <c r="J211" s="1673"/>
      <c r="K211" s="1689">
        <f>'Revenues 9-14'!F268-'Expenditures 15-22'!K210</f>
        <v>56257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15501</v>
      </c>
      <c r="E215" s="1673"/>
      <c r="F215" s="1673"/>
      <c r="G215" s="1673"/>
      <c r="H215" s="1673"/>
      <c r="I215" s="1673"/>
      <c r="J215" s="1673"/>
      <c r="K215" s="1672">
        <f>D215</f>
        <v>15501</v>
      </c>
      <c r="L215" s="1573">
        <v>21810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3007</v>
      </c>
      <c r="E217" s="1673"/>
      <c r="F217" s="1673"/>
      <c r="G217" s="1673"/>
      <c r="H217" s="1673"/>
      <c r="I217" s="1673"/>
      <c r="J217" s="1673"/>
      <c r="K217" s="1672">
        <f t="shared" si="19"/>
        <v>3007</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723</v>
      </c>
      <c r="E223" s="1673"/>
      <c r="F223" s="1673"/>
      <c r="G223" s="1673"/>
      <c r="H223" s="1673"/>
      <c r="I223" s="1673"/>
      <c r="J223" s="1673"/>
      <c r="K223" s="1672">
        <f t="shared" si="19"/>
        <v>723</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19231</v>
      </c>
      <c r="E229" s="1673"/>
      <c r="F229" s="1673"/>
      <c r="G229" s="1673"/>
      <c r="H229" s="1673"/>
      <c r="I229" s="1673"/>
      <c r="J229" s="1673"/>
      <c r="K229" s="1674">
        <f>SUM(K215:K228)</f>
        <v>19231</v>
      </c>
      <c r="L229" s="1674">
        <f>SUM(L215:L228)</f>
        <v>21810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161</v>
      </c>
      <c r="E232" s="1673"/>
      <c r="F232" s="1673"/>
      <c r="G232" s="1673"/>
      <c r="H232" s="1673"/>
      <c r="I232" s="1673"/>
      <c r="J232" s="1673"/>
      <c r="K232" s="1672">
        <f t="shared" ref="K232:K237" si="20">D232</f>
        <v>161</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161</v>
      </c>
      <c r="E238" s="1673"/>
      <c r="F238" s="1673"/>
      <c r="G238" s="1673"/>
      <c r="H238" s="1673"/>
      <c r="I238" s="1673"/>
      <c r="J238" s="1673"/>
      <c r="K238" s="1674">
        <f>SUM(K232:K237)</f>
        <v>161</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119</v>
      </c>
      <c r="E245" s="1673"/>
      <c r="F245" s="1673"/>
      <c r="G245" s="1673"/>
      <c r="H245" s="1673"/>
      <c r="I245" s="1673"/>
      <c r="J245" s="1673"/>
      <c r="K245" s="1678">
        <f>D245</f>
        <v>119</v>
      </c>
      <c r="L245" s="1586">
        <v>125</v>
      </c>
    </row>
    <row r="246" spans="1:12" x14ac:dyDescent="0.2">
      <c r="A246" s="1274" t="s">
        <v>813</v>
      </c>
      <c r="B246" s="503">
        <v>2320</v>
      </c>
      <c r="C246" s="1673"/>
      <c r="D246" s="1573">
        <v>7674</v>
      </c>
      <c r="E246" s="1673"/>
      <c r="F246" s="1673"/>
      <c r="G246" s="1673"/>
      <c r="H246" s="1673"/>
      <c r="I246" s="1673"/>
      <c r="J246" s="1673"/>
      <c r="K246" s="1678">
        <f t="shared" ref="K246:K256" si="21">D246</f>
        <v>7674</v>
      </c>
      <c r="L246" s="1573">
        <v>8845</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7793</v>
      </c>
      <c r="E257" s="1673"/>
      <c r="F257" s="1673"/>
      <c r="G257" s="1673"/>
      <c r="H257" s="1673"/>
      <c r="I257" s="1673"/>
      <c r="J257" s="1673"/>
      <c r="K257" s="1674">
        <f>SUM(K245:K256)</f>
        <v>7793</v>
      </c>
      <c r="L257" s="1674">
        <f>SUM(L245:L256)</f>
        <v>8970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4677</v>
      </c>
      <c r="E259" s="1673"/>
      <c r="F259" s="1673"/>
      <c r="G259" s="1673"/>
      <c r="H259" s="1673"/>
      <c r="I259" s="1673"/>
      <c r="J259" s="1673"/>
      <c r="K259" s="1678">
        <f>D259</f>
        <v>4677</v>
      </c>
      <c r="L259" s="1586">
        <v>5760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4677</v>
      </c>
      <c r="E261" s="1673"/>
      <c r="F261" s="1673"/>
      <c r="G261" s="1673"/>
      <c r="H261" s="1673"/>
      <c r="I261" s="1673"/>
      <c r="J261" s="1673"/>
      <c r="K261" s="1674">
        <f>SUM(K259:K260)</f>
        <v>4677</v>
      </c>
      <c r="L261" s="1674">
        <f>SUM(L259:L260)</f>
        <v>5760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9032</v>
      </c>
      <c r="E266" s="1673"/>
      <c r="F266" s="1673"/>
      <c r="G266" s="1673"/>
      <c r="H266" s="1673"/>
      <c r="I266" s="1673"/>
      <c r="J266" s="1673"/>
      <c r="K266" s="1678">
        <f t="shared" si="22"/>
        <v>9032</v>
      </c>
      <c r="L266" s="1573">
        <v>11240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9032</v>
      </c>
      <c r="E270" s="1673"/>
      <c r="F270" s="1673"/>
      <c r="G270" s="1673"/>
      <c r="H270" s="1673"/>
      <c r="I270" s="1673"/>
      <c r="J270" s="1673"/>
      <c r="K270" s="1674">
        <f>SUM(K263:K269)</f>
        <v>9032</v>
      </c>
      <c r="L270" s="1674">
        <f>SUM(L263:L269)</f>
        <v>11240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21663</v>
      </c>
      <c r="E279" s="1673"/>
      <c r="F279" s="1673"/>
      <c r="G279" s="1673"/>
      <c r="H279" s="1673"/>
      <c r="I279" s="1673"/>
      <c r="J279" s="1673"/>
      <c r="K279" s="1681">
        <f>SUM(K238,K243,K257,K261,K270,K277,K278)</f>
        <v>21663</v>
      </c>
      <c r="L279" s="1681">
        <f>SUM(L238,L243,L257,L261,L270,L277,L278)</f>
        <v>25970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40894</v>
      </c>
      <c r="E295" s="1673"/>
      <c r="F295" s="1673"/>
      <c r="G295" s="1673"/>
      <c r="H295" s="1674">
        <f>H293</f>
        <v>0</v>
      </c>
      <c r="I295" s="1673"/>
      <c r="J295" s="1673"/>
      <c r="K295" s="1674">
        <f>SUM(K229,K279,K280,K285,K293,K294)</f>
        <v>40894</v>
      </c>
      <c r="L295" s="1674">
        <f>SUM(L229,L279,L280,L285,L293,L294)</f>
        <v>47780</v>
      </c>
    </row>
    <row r="296" spans="1:14" ht="13.5" thickTop="1" x14ac:dyDescent="0.2">
      <c r="A296" s="2261" t="s">
        <v>989</v>
      </c>
      <c r="B296" s="2262"/>
      <c r="C296" s="1673"/>
      <c r="D296" s="1675"/>
      <c r="E296" s="1673"/>
      <c r="F296" s="1673"/>
      <c r="G296" s="1673"/>
      <c r="H296" s="1707"/>
      <c r="I296" s="1673"/>
      <c r="J296" s="1673"/>
      <c r="K296" s="1689">
        <f>'Revenues 9-14'!G268-'Expenditures 15-22'!K295</f>
        <v>4191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5741</v>
      </c>
      <c r="F320" s="1574"/>
      <c r="G320" s="1574"/>
      <c r="H320" s="1574"/>
      <c r="I320" s="1574"/>
      <c r="J320" s="1574"/>
      <c r="K320" s="1672">
        <f t="shared" ref="K320:K327" si="24">SUM(C320:J320)</f>
        <v>5741</v>
      </c>
      <c r="L320" s="1574">
        <v>7022</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58483</v>
      </c>
      <c r="D325" s="1574">
        <v>3856</v>
      </c>
      <c r="E325" s="1574"/>
      <c r="F325" s="1574"/>
      <c r="G325" s="1574"/>
      <c r="H325" s="1574"/>
      <c r="I325" s="1574"/>
      <c r="J325" s="1574"/>
      <c r="K325" s="1672">
        <f t="shared" si="24"/>
        <v>62339</v>
      </c>
      <c r="L325" s="1574">
        <v>76447</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v>20144</v>
      </c>
      <c r="F328" s="1579"/>
      <c r="G328" s="1579"/>
      <c r="H328" s="1579"/>
      <c r="I328" s="1579"/>
      <c r="J328" s="1579"/>
      <c r="K328" s="1713">
        <f>SUM(C328:J328)</f>
        <v>20144</v>
      </c>
      <c r="L328" s="1579">
        <v>20682</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58483</v>
      </c>
      <c r="D330" s="1674">
        <f t="shared" ref="D330:J330" si="25">SUM(D319:D329)</f>
        <v>3856</v>
      </c>
      <c r="E330" s="1674">
        <f t="shared" si="25"/>
        <v>25885</v>
      </c>
      <c r="F330" s="1674">
        <f t="shared" si="25"/>
        <v>0</v>
      </c>
      <c r="G330" s="1674">
        <f t="shared" si="25"/>
        <v>0</v>
      </c>
      <c r="H330" s="1674">
        <f t="shared" si="25"/>
        <v>0</v>
      </c>
      <c r="I330" s="1674">
        <f t="shared" si="25"/>
        <v>0</v>
      </c>
      <c r="J330" s="1674">
        <f t="shared" si="25"/>
        <v>0</v>
      </c>
      <c r="K330" s="1674">
        <f>SUM(K319:K329)</f>
        <v>88224</v>
      </c>
      <c r="L330" s="1674">
        <f>SUM(L319:L329)</f>
        <v>104151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v>5850</v>
      </c>
      <c r="I333" s="1714"/>
      <c r="J333" s="1714"/>
      <c r="K333" s="1672">
        <f>H333</f>
        <v>5850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5850</v>
      </c>
      <c r="I334" s="1714"/>
      <c r="J334" s="1714"/>
      <c r="K334" s="1674">
        <f>SUM(K332:K333)</f>
        <v>5850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58483</v>
      </c>
      <c r="D342" s="1674">
        <f>SUM(D330)</f>
        <v>3856</v>
      </c>
      <c r="E342" s="1674">
        <f>SUM(E330)</f>
        <v>25885</v>
      </c>
      <c r="F342" s="1674">
        <f>SUM(F330)</f>
        <v>0</v>
      </c>
      <c r="G342" s="1674">
        <f>SUM(G330)</f>
        <v>0</v>
      </c>
      <c r="H342" s="1674">
        <f>SUM(H330,H334,H340)</f>
        <v>5850</v>
      </c>
      <c r="I342" s="1674">
        <f>SUM(I330)</f>
        <v>0</v>
      </c>
      <c r="J342" s="1674">
        <f>SUM(J330)</f>
        <v>0</v>
      </c>
      <c r="K342" s="1674">
        <f>SUM(K330,K334,K340)</f>
        <v>94074</v>
      </c>
      <c r="L342" s="1681">
        <f>SUM(L330,L334,L340,L341)</f>
        <v>104151</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-4155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documentManagement/types"/>
    <ds:schemaRef ds:uri="http://schemas.microsoft.com/office/2006/metadata/properties"/>
    <ds:schemaRef ds:uri="d21dc803-237d-4c68-8692-8d731fd29118"/>
    <ds:schemaRef ds:uri="http://purl.org/dc/terms/"/>
    <ds:schemaRef ds:uri="http://purl.org/dc/dcmitype/"/>
    <ds:schemaRef ds:uri="http://schemas.openxmlformats.org/package/2006/metadata/core-properties"/>
    <ds:schemaRef ds:uri="4d435f69-8686-490b-bd6d-b153bf22ab50"/>
    <ds:schemaRef ds:uri="6ce3111e-7420-4802-b50a-75d4e9a0b980"/>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2020-09-04T18:06:35Z</cp:lastPrinted>
  <dcterms:created xsi:type="dcterms:W3CDTF">2003-10-29T19:06:34Z</dcterms:created>
  <dcterms:modified xsi:type="dcterms:W3CDTF">2020-10-15T19:37:57Z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