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937D17F-764A-441E-A626-90CB738BFC8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AC32" sheetId="145" state="hidden"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8">#REF!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7" i="184" l="1"/>
  <c r="N67" i="184" s="1"/>
  <c r="E66" i="184"/>
  <c r="N66" i="184" s="1"/>
  <c r="E65" i="184"/>
  <c r="E64" i="184"/>
  <c r="E63" i="184"/>
  <c r="N63" i="184" s="1"/>
  <c r="E62" i="184"/>
  <c r="N62" i="184" s="1"/>
  <c r="E61" i="184"/>
  <c r="N61" i="184" s="1"/>
  <c r="E60" i="184"/>
  <c r="N60" i="184" s="1"/>
  <c r="E59" i="184"/>
  <c r="E58" i="184"/>
  <c r="E57" i="184"/>
  <c r="I16" i="184"/>
  <c r="L16" i="184" s="1"/>
  <c r="I12" i="184"/>
  <c r="L12" i="184" s="1"/>
  <c r="F15" i="184"/>
  <c r="F19" i="184" s="1"/>
  <c r="E17" i="184"/>
  <c r="E16" i="184"/>
  <c r="E15" i="184"/>
  <c r="E14" i="184"/>
  <c r="E13" i="184"/>
  <c r="E12" i="184"/>
  <c r="J7" i="184"/>
  <c r="L53" i="184" s="1"/>
  <c r="J6" i="184"/>
  <c r="L52" i="184" s="1"/>
  <c r="L13" i="184"/>
  <c r="L14" i="184"/>
  <c r="L15" i="184"/>
  <c r="G17" i="184"/>
  <c r="L17" i="184"/>
  <c r="H18" i="184"/>
  <c r="L18" i="184"/>
  <c r="J19" i="184"/>
  <c r="K19" i="184"/>
  <c r="N58" i="184"/>
  <c r="N59" i="184"/>
  <c r="N64" i="184"/>
  <c r="N65" i="184"/>
  <c r="G68" i="184"/>
  <c r="G12" i="184" s="1"/>
  <c r="H68" i="184"/>
  <c r="G13" i="184" s="1"/>
  <c r="H13" i="184" s="1"/>
  <c r="I68" i="184"/>
  <c r="G14" i="184" s="1"/>
  <c r="J68" i="184"/>
  <c r="G15" i="184" s="1"/>
  <c r="K68" i="184"/>
  <c r="G16" i="184" s="1"/>
  <c r="L68" i="184"/>
  <c r="M68" i="184"/>
  <c r="M19" i="3"/>
  <c r="E68" i="184" l="1"/>
  <c r="N57" i="184"/>
  <c r="N68" i="184" s="1"/>
  <c r="I19" i="184"/>
  <c r="L19" i="184"/>
  <c r="H17" i="184"/>
  <c r="H16" i="184"/>
  <c r="H15" i="184"/>
  <c r="E19" i="184"/>
  <c r="H14" i="184"/>
  <c r="H12" i="184"/>
  <c r="G19" i="184"/>
  <c r="E21" i="183"/>
  <c r="F21" i="183"/>
  <c r="F26" i="183"/>
  <c r="E26" i="183"/>
  <c r="E24" i="183"/>
  <c r="F24" i="183"/>
  <c r="H19" i="184" l="1"/>
  <c r="L20" i="184" s="1"/>
  <c r="F23" i="183"/>
  <c r="E23" i="183"/>
  <c r="F63" i="29"/>
  <c r="F142" i="183" l="1"/>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2" i="183"/>
  <c r="F20" i="183"/>
  <c r="F19" i="183"/>
  <c r="F18" i="183"/>
  <c r="E1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5" i="183"/>
  <c r="F25" i="183" s="1"/>
  <c r="E22" i="183"/>
  <c r="E20" i="183"/>
  <c r="E19" i="183"/>
  <c r="E18" i="183"/>
  <c r="E17" i="183"/>
  <c r="F17" i="183" s="1"/>
  <c r="D7887" i="106" l="1"/>
  <c r="B7887" i="106"/>
  <c r="F76" i="34"/>
  <c r="C39" i="145" l="1"/>
  <c r="C33" i="145"/>
  <c r="K18" i="145" l="1"/>
  <c r="K17" i="145"/>
  <c r="K16" i="145"/>
  <c r="K15" i="145"/>
  <c r="K14" i="145"/>
  <c r="K13" i="145"/>
  <c r="K12" i="145"/>
  <c r="J19" i="145"/>
  <c r="B3674" i="106" l="1"/>
  <c r="B3635" i="106"/>
  <c r="B7885" i="106"/>
  <c r="D7885" i="106" s="1"/>
  <c r="B7884" i="106"/>
  <c r="B7883" i="106"/>
  <c r="B7882" i="106"/>
  <c r="D7884" i="106"/>
  <c r="D7883" i="106"/>
  <c r="D7882" i="106"/>
  <c r="B11" i="7" l="1"/>
  <c r="D7836" i="106" l="1"/>
  <c r="J90" i="28" l="1"/>
  <c r="J88" i="28"/>
  <c r="J85" i="28"/>
  <c r="B7819" i="106" l="1"/>
  <c r="D7819" i="106" s="1"/>
  <c r="B7818" i="106"/>
  <c r="D7818" i="106" s="1"/>
  <c r="D143" i="183" l="1"/>
  <c r="A15" i="183"/>
  <c r="D82" i="36" l="1"/>
  <c r="F143" i="183"/>
  <c r="E143"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F67" i="34" l="1"/>
  <c r="D69" i="36"/>
  <c r="C342" i="29"/>
  <c r="B7216" i="106" s="1"/>
  <c r="D7216" i="106" s="1"/>
  <c r="C129" i="29"/>
  <c r="B7826" i="106"/>
  <c r="D7826" i="106" s="1"/>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6216" i="106" l="1"/>
  <c r="D6216" i="106" s="1"/>
  <c r="L16" i="11"/>
  <c r="B2061" i="106" s="1"/>
  <c r="D2061" i="106" s="1"/>
  <c r="N23" i="3"/>
  <c r="B284" i="106" s="1"/>
  <c r="D284" i="106" s="1"/>
  <c r="B5527" i="106"/>
  <c r="D5527" i="106" s="1"/>
  <c r="B7220" i="106"/>
  <c r="D7220" i="106" s="1"/>
  <c r="F75" i="34"/>
  <c r="B7886" i="106" s="1"/>
  <c r="D7886" i="106" s="1"/>
  <c r="K342" i="29"/>
  <c r="F13" i="34" s="1"/>
  <c r="B1381" i="106"/>
  <c r="D1381" i="106" s="1"/>
  <c r="H151" i="29"/>
  <c r="B1273" i="106" s="1"/>
  <c r="D1273" i="106" s="1"/>
  <c r="L114" i="29"/>
  <c r="F41" i="108"/>
  <c r="G43" i="108"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F77" i="34" l="1"/>
  <c r="B1145" i="106"/>
  <c r="D1145"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6227" i="106" l="1"/>
  <c r="D6227" i="106" s="1"/>
  <c r="J19" i="4"/>
  <c r="B6229" i="106" s="1"/>
  <c r="D6229" i="106" s="1"/>
  <c r="F8" i="4"/>
  <c r="B2595" i="106" s="1"/>
  <c r="D2595"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<sst xmlns="http://schemas.openxmlformats.org/spreadsheetml/2006/main" count="5207" uniqueCount="2104">
  <si>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</si>
  <si>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</si>
  <si>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</si>
  <si>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</si>
  <si>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</si>
  <si>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</si>
  <si>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</si>
  <si>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</si>
  <si>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</si>
  <si>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</si>
  <si>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</si>
  <si>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</si>
  <si>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</si>
  <si>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</si>
  <si>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</si>
  <si>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</si>
  <si>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</si>
  <si>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</si>
  <si>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</si>
  <si>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</si>
  <si>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</si>
  <si>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</si>
  <si>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</si>
  <si>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</si>
  <si>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</si>
  <si>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</si>
  <si>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</si>
  <si>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</si>
  <si>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</si>
  <si>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</si>
  <si>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</si>
  <si>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</si>
  <si>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</si>
  <si>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</si>
  <si>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</si>
  <si>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</si>
  <si>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</si>
  <si>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</si>
  <si>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</si>
  <si>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</si>
  <si>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</si>
  <si>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</si>
  <si>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</si>
  <si>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</si>
  <si>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</si>
  <si>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</si>
  <si>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</si>
  <si>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</si>
  <si>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</si>
  <si>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</si>
  <si>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</si>
  <si>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</si>
  <si>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</si>
  <si>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</si>
  <si>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</si>
  <si>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</si>
  <si>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</si>
  <si>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</si>
  <si>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</si>
  <si>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</si>
  <si>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</si>
  <si>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</si>
  <si>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</si>
  <si>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</si>
  <si>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</si>
  <si>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</si>
  <si>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</si>
  <si>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</si>
  <si>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</si>
  <si>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</si>
  <si>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</si>
  <si>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</si>
  <si>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</si>
  <si>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</si>
  <si>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</si>
  <si>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</si>
  <si>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</si>
  <si>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</si>
  <si>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</si>
  <si>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</si>
  <si>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</si>
  <si>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</si>
  <si>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</si>
  <si>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</si>
  <si>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</si>
  <si>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</si>
  <si>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</si>
  <si>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</si>
  <si>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</si>
  <si>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</si>
  <si>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</si>
  <si>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</si>
  <si>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</si>
  <si>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</si>
  <si>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</si>
  <si>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</si>
  <si>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</si>
  <si>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</si>
  <si>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</si>
  <si>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</si>
  <si>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</si>
  <si>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</si>
  <si>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</si>
  <si>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</si>
  <si>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</si>
  <si>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</si>
  <si>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</si>
  <si>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</si>
  <si>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</si>
  <si>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</si>
  <si>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</si>
  <si>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</si>
  <si>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</si>
  <si>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</si>
  <si>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</si>
  <si>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</si>
  <si>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</si>
  <si>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</si>
  <si>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</si>
  <si>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</si>
  <si>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</si>
  <si>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</si>
  <si>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</si>
  <si>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</si>
  <si>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</si>
  <si>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</si>
  <si>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</si>
  <si>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</si>
  <si>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</si>
  <si>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</si>
  <si>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</si>
  <si>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</si>
  <si>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</si>
  <si>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</si>
  <si>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</si>
  <si>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</si>
  <si>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</si>
  <si>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</si>
  <si>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</si>
  <si>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</si>
  <si>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</si>
  <si>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</si>
  <si>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</si>
  <si>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</si>
  <si>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</si>
  <si>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</si>
  <si>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</si>
  <si>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</si>
  <si>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</si>
  <si>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</si>
  <si>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</si>
  <si>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</si>
  <si>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</si>
  <si>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</si>
  <si>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</si>
  <si>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</si>
  <si>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</si>
  <si>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</si>
  <si>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</si>
  <si>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</si>
  <si>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</si>
  <si>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</si>
  <si>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</si>
  <si>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</si>
  <si>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</si>
  <si>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</si>
  <si>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</si>
  <si>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</si>
  <si>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</si>
  <si>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</si>
  <si>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</si>
  <si>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</si>
  <si>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</si>
  <si>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</si>
  <si>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</si>
  <si>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</si>
  <si>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</si>
  <si>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</si>
  <si>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</si>
  <si>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</si>
  <si>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</si>
  <si>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</si>
  <si>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</si>
  <si>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</si>
  <si>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</si>
  <si>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</si>
  <si>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</si>
  <si>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</si>
  <si>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</si>
  <si>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</si>
  <si>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</si>
  <si>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</si>
  <si>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</si>
  <si>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</si>
  <si>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</si>
  <si>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</si>
  <si>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</si>
  <si>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</si>
  <si>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</si>
  <si>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</si>
  <si>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</si>
  <si>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</si>
  <si>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</si>
  <si>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</si>
  <si>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</si>
  <si>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</si>
  <si>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</si>
  <si>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</si>
  <si>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</si>
  <si>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</si>
  <si>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</si>
  <si>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</si>
  <si>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</si>
  <si>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</si>
  <si>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</si>
  <si>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</si>
  <si>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</si>
  <si>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</si>
  <si>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</si>
  <si>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</si>
  <si>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</si>
  <si>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</si>
  <si>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</si>
  <si>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</si>
  <si>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</si>
  <si>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</si>
  <si>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</si>
  <si>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</si>
  <si>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</si>
  <si>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</si>
  <si>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</si>
  <si>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</si>
  <si>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</si>
  <si>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</si>
  <si>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</si>
  <si>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</si>
  <si>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</si>
  <si>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</si>
  <si>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</si>
  <si>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</si>
  <si>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</si>
  <si>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</si>
  <si>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</si>
  <si>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</si>
  <si>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</si>
  <si>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</si>
  <si>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</si>
  <si>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</si>
  <si>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</si>
  <si>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</si>
  <si>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</si>
  <si>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</si>
  <si>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</si>
  <si>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</si>
  <si>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</si>
  <si>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</si>
  <si>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</si>
  <si>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</si>
  <si>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</si>
  <si>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</si>
  <si>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</si>
  <si>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</si>
  <si>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</si>
  <si>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</si>
  <si>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</si>
  <si>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</si>
  <si>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</si>
  <si>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</si>
  <si>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</si>
  <si>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</si>
  <si>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</si>
  <si>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</si>
  <si>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</si>
  <si>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</si>
  <si>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</si>
  <si>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</si>
  <si>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</si>
  <si>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</si>
  <si>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</si>
  <si>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</si>
  <si>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</si>
  <si>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</si>
  <si>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</si>
  <si>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</si>
  <si>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</si>
  <si>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</si>
  <si>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</si>
  <si>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</si>
  <si>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</si>
  <si>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</si>
  <si>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</si>
  <si>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</si>
  <si>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</si>
  <si>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</si>
  <si>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</si>
  <si>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</si>
  <si>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</si>
  <si>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</si>
  <si>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</si>
  <si>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</si>
  <si>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</si>
  <si>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</si>
  <si>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</si>
  <si>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</si>
  <si>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</si>
  <si>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</si>
  <si>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</si>
  <si>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</si>
  <si>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</si>
  <si>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</si>
  <si>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</si>
  <si>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</si>
  <si>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</si>
  <si>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</si>
  <si>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</si>
  <si>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</si>
  <si>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</si>
  <si>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</si>
  <si>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</si>
  <si>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</si>
  <si>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</si>
  <si>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</si>
  <si>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</si>
  <si>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</si>
  <si>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</si>
  <si>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</si>
  <si>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</si>
  <si>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</si>
  <si>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</si>
  <si>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</si>
  <si>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</si>
  <si>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</si>
  <si>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</si>
  <si>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</si>
  <si>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</si>
  <si>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</si>
  <si>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</si>
  <si>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</si>
  <si>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</si>
  <si>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</si>
  <si>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</si>
  <si>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</si>
  <si>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</si>
  <si>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</si>
  <si>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</si>
  <si>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</si>
  <si>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</si>
  <si>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</si>
  <si>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</si>
  <si>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</si>
  <si>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</si>
  <si>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</si>
  <si>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</si>
  <si>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</si>
  <si>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</si>
  <si>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</si>
  <si>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</si>
  <si>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</si>
  <si>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</si>
  <si>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</si>
  <si>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</si>
  <si>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</si>
  <si>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</si>
  <si>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</si>
  <si>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</si>
  <si>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</si>
  <si>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</si>
  <si>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</si>
  <si>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</si>
  <si>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</si>
  <si>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</si>
  <si>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</si>
  <si>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</si>
  <si>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</si>
  <si>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</si>
  <si>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</si>
  <si>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</si>
  <si>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</si>
  <si>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</si>
  <si>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</si>
  <si>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</si>
  <si>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</si>
  <si>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</si>
  <si>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</si>
  <si>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</si>
  <si>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</si>
  <si>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</si>
  <si>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</si>
  <si>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</si>
  <si>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</si>
  <si>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</si>
  <si>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</si>
  <si>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</si>
  <si>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</si>
  <si>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</si>
  <si>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</si>
  <si>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</si>
  <si>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</si>
  <si>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</si>
  <si>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</si>
  <si>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</si>
  <si>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</si>
  <si>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</si>
  <si>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</si>
  <si>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</si>
  <si>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</si>
  <si>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</si>
  <si>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</si>
  <si>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</si>
  <si>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</si>
  <si>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</si>
  <si>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</si>
  <si>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</si>
  <si>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</si>
  <si>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</si>
  <si>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</si>
  <si>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</si>
  <si>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</si>
  <si>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</si>
  <si>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</si>
  <si>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</si>
  <si>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</si>
  <si>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</si>
  <si>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</si>
  <si>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</si>
  <si>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</si>
  <si>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</si>
  <si>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</si>
  <si>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</si>
  <si>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</si>
  <si>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</si>
  <si>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</si>
  <si>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</si>
  <si>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</si>
  <si>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</si>
  <si>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</si>
  <si>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</si>
  <si>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</si>
  <si>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</si>
  <si>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</si>
  <si>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</si>
  <si>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</si>
  <si>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</si>
  <si>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</si>
  <si>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</si>
  <si>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</si>
  <si>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</si>
  <si>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</si>
  <si>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</si>
  <si>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</si>
  <si>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</si>
  <si>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</si>
  <si>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</si>
  <si>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</si>
  <si>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</si>
  <si>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</si>
  <si>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</si>
  <si>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</si>
  <si>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</si>
  <si>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</si>
  <si>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</si>
  <si>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</si>
  <si>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</si>
  <si>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</si>
  <si>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</si>
  <si>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</si>
  <si>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</si>
  <si>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</si>
  <si>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</si>
  <si>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</si>
  <si>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</si>
  <si>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</si>
  <si>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</si>
  <si>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</si>
  <si>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</si>
  <si>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</si>
  <si>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</si>
  <si>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</si>
  <si>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</si>
  <si>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</si>
  <si>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</si>
  <si>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</si>
  <si>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</si>
  <si>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</si>
  <si>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</si>
  <si>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</si>
  <si>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</si>
  <si>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</si>
  <si>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</si>
  <si>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</si>
  <si>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</si>
  <si>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</si>
  <si>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</si>
  <si>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</si>
  <si>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</si>
  <si>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</si>
  <si>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</si>
  <si>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</si>
  <si>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</si>
  <si>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</si>
  <si>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</si>
  <si>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</si>
  <si>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</si>
  <si>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</si>
  <si>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</si>
  <si>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</si>
  <si>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</si>
  <si>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</si>
  <si>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</si>
  <si>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</si>
  <si>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</si>
  <si>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</si>
  <si>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</si>
  <si>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</si>
  <si>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</si>
  <si>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</si>
  <si>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</si>
  <si>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</si>
  <si>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</si>
  <si>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</si>
  <si>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</si>
  <si>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</si>
  <si>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</si>
  <si>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</si>
  <si>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</si>
  <si>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</si>
  <si>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</si>
  <si>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</si>
  <si>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</si>
  <si>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</si>
  <si>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</si>
  <si>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</si>
  <si>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</si>
  <si>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</si>
  <si>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</si>
  <si>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</si>
  <si>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</si>
  <si>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</si>
  <si>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</si>
  <si>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</si>
  <si>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</si>
  <si>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</si>
  <si>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</si>
  <si>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</si>
  <si>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</si>
  <si>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</si>
  <si>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</si>
  <si>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</si>
  <si>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</si>
  <si>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</si>
  <si>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</si>
  <si>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</si>
  <si>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</si>
  <si>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</si>
  <si>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</si>
  <si>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</si>
  <si>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</si>
  <si>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</si>
  <si>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</si>
  <si>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</si>
  <si>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</si>
  <si>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</si>
  <si>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</si>
  <si>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</si>
  <si>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</si>
  <si>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</si>
  <si>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</si>
  <si>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</si>
  <si>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</si>
  <si>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</si>
  <si>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</si>
  <si>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</si>
  <si>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</si>
  <si>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</si>
  <si>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</si>
  <si>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</si>
  <si>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</si>
  <si>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</si>
  <si>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</si>
  <si>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</si>
  <si>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</si>
  <si>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</si>
  <si>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</si>
  <si>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</si>
  <si>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</si>
  <si>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</si>
  <si>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</si>
  <si>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</si>
  <si>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</si>
  <si>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</si>
  <si>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</si>
  <si>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</si>
  <si>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</si>
  <si>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</si>
  <si>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</si>
  <si>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</si>
  <si>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</si>
  <si>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</si>
  <si>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</si>
  <si>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</si>
  <si>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</si>
  <si>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</si>
  <si>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</si>
  <si>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</si>
  <si>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</si>
  <si>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</si>
  <si>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</si>
  <si>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</si>
  <si>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</si>
  <si>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</si>
  <si>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</si>
  <si>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</si>
  <si>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</si>
  <si>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</si>
  <si>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</si>
  <si>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</si>
  <si>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</si>
  <si>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</si>
  <si>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</si>
  <si>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</si>
  <si>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</si>
  <si>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</si>
  <si>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</si>
  <si>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</si>
  <si>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</si>
  <si>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</si>
  <si>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</si>
  <si>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</si>
  <si>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</si>
  <si>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</si>
  <si>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</si>
  <si>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</si>
  <si>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</si>
  <si>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</si>
  <si>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</si>
  <si>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</si>
  <si>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</si>
  <si>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</si>
  <si>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</si>
  <si>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</si>
  <si>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</si>
  <si>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</si>
  <si>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</si>
  <si>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</si>
  <si>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</si>
  <si>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</si>
  <si>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</si>
  <si>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</si>
  <si>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</si>
  <si>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</si>
  <si>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</si>
  <si>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</si>
  <si>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</si>
  <si>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</si>
  <si>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</si>
  <si>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</si>
  <si>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</si>
  <si>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</si>
  <si>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</si>
  <si>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</si>
  <si>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</si>
  <si>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</si>
  <si>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</si>
  <si>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</si>
  <si>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</si>
  <si>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</si>
  <si>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</si>
  <si>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</si>
  <si>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</si>
  <si>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</si>
  <si>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</si>
  <si>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</si>
  <si>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</si>
  <si>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</si>
  <si>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</si>
  <si>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</si>
  <si>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</si>
  <si>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</si>
  <si>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</si>
  <si>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</si>
  <si>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</si>
  <si>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</si>
  <si>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</si>
  <si>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</si>
  <si>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</si>
  <si>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</si>
  <si>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</si>
  <si>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</si>
  <si>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</si>
  <si>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</si>
  <si>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</si>
  <si>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</si>
  <si>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</si>
  <si>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</si>
  <si>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</si>
  <si>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</si>
  <si>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</si>
  <si>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</si>
  <si>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</si>
  <si>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</si>
  <si>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</si>
  <si>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</si>
  <si>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</si>
  <si>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</si>
  <si>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</si>
  <si>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</si>
  <si>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</si>
  <si>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</si>
  <si>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</si>
  <si>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</si>
  <si>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</si>
  <si>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</si>
  <si>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</si>
  <si>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</si>
  <si>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</si>
  <si>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</si>
  <si>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</si>
  <si>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</si>
  <si>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</si>
  <si>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</si>
  <si>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</si>
  <si>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</si>
  <si>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</si>
  <si>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</si>
  <si>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</si>
  <si>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</si>
  <si>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</si>
  <si>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</si>
  <si>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</si>
  <si>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</si>
  <si>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</si>
  <si>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</si>
  <si>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</si>
  <si>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</si>
  <si>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</si>
  <si>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</si>
  <si>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</si>
  <si>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</si>
  <si>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</si>
  <si>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</si>
  <si>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</si>
  <si>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</si>
  <si>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</si>
  <si>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</si>
  <si>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</si>
  <si>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</si>
  <si>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</si>
  <si>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</si>
  <si>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</si>
  <si>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</si>
  <si>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</si>
  <si>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</si>
  <si>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</si>
  <si>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</si>
  <si>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</si>
  <si>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</si>
  <si>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</si>
  <si>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</si>
  <si>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</si>
  <si>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</si>
  <si>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</si>
  <si>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</si>
  <si>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</si>
  <si>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</si>
  <si>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</si>
  <si>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</si>
  <si>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</si>
  <si>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</si>
  <si>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</si>
  <si>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</si>
  <si>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</si>
  <si>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</si>
  <si>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</si>
  <si>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</si>
  <si>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</si>
  <si>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</si>
  <si>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</si>
  <si>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</si>
  <si>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</si>
  <si>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</si>
  <si>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</si>
  <si>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</si>
  <si>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</si>
  <si>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</si>
  <si>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</si>
  <si>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</si>
  <si>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</si>
  <si>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</si>
  <si>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</si>
  <si>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</si>
  <si>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</si>
  <si>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</si>
  <si>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</si>
  <si>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</si>
  <si>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</si>
  <si>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</si>
  <si>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</si>
  <si>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</si>
  <si>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</si>
  <si>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</si>
  <si>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</si>
  <si>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</si>
  <si>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</si>
  <si>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</si>
  <si>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</si>
  <si>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</si>
  <si>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</si>
  <si>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</si>
  <si>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</si>
  <si>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</si>
  <si>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</si>
  <si>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</si>
  <si>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</si>
  <si>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</si>
  <si>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</si>
  <si>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</si>
  <si>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</si>
  <si>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</si>
  <si>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</si>
  <si>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</si>
  <si>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</si>
  <si>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</si>
  <si>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</si>
  <si>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</si>
  <si>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</si>
  <si>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</si>
  <si>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</si>
  <si>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</si>
  <si>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</si>
  <si>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</si>
  <si>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</si>
  <si>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</si>
  <si>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</si>
  <si>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</si>
  <si>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</si>
  <si>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</si>
  <si>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</si>
  <si>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</si>
  <si>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</si>
  <si>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</si>
  <si>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</si>
  <si>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</si>
  <si>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</si>
  <si>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</si>
  <si>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</si>
  <si>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</si>
  <si>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</si>
  <si>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</si>
  <si>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</si>
  <si>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</si>
  <si>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</si>
  <si>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</si>
  <si>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</si>
  <si>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</si>
  <si>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</si>
  <si>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</si>
  <si>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</si>
  <si>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</si>
  <si>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</si>
  <si>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</si>
  <si>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</si>
  <si>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</si>
  <si>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</si>
  <si>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</si>
  <si>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</si>
  <si>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</si>
  <si>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</si>
  <si>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</si>
  <si>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</si>
  <si>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</si>
  <si>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</si>
  <si>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</si>
  <si>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</si>
  <si>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</si>
  <si>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</si>
  <si>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</si>
  <si>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</si>
  <si>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</si>
  <si>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</si>
  <si>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</si>
  <si>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</si>
  <si>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</si>
  <si>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</si>
  <si>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</si>
  <si>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</si>
  <si>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</si>
  <si>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</si>
  <si>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</si>
  <si>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</si>
  <si>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</si>
  <si>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</si>
  <si>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</si>
  <si>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</si>
  <si>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</si>
  <si>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</si>
  <si>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</si>
  <si>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</si>
  <si>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</si>
  <si>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</si>
  <si>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</si>
  <si>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</si>
  <si>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</si>
  <si>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</si>
  <si>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</si>
  <si>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</si>
  <si>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</si>
  <si>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</si>
  <si>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</si>
  <si>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</si>
  <si>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</si>
  <si>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</si>
  <si>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</si>
  <si>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</si>
  <si>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</si>
  <si>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</si>
  <si>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</si>
  <si>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</si>
  <si>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</si>
  <si>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</si>
  <si>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</si>
  <si>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</si>
  <si>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</si>
  <si>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</si>
  <si>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</si>
  <si>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</si>
  <si>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</si>
  <si>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</si>
  <si>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</si>
  <si>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</si>
  <si>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</si>
  <si>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</si>
  <si>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</si>
  <si>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</si>
  <si>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</si>
  <si>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</si>
  <si>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</si>
  <si>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</si>
  <si>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</si>
  <si>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</si>
  <si>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</si>
  <si>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</si>
  <si>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</si>
  <si>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</si>
  <si>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</si>
  <si>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</si>
  <si>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</si>
  <si>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</si>
  <si>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</si>
  <si>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</si>
  <si>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</si>
  <si>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</si>
  <si>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</si>
  <si>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</si>
  <si>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</si>
  <si>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</si>
  <si>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</si>
  <si>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</si>
  <si>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</si>
  <si>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</si>
  <si>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</si>
  <si>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</si>
  <si>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</si>
  <si>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</si>
  <si>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</si>
  <si>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</si>
  <si>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</si>
  <si>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</si>
  <si>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</si>
  <si>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</si>
  <si>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</si>
  <si>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</si>
  <si>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</si>
  <si>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</si>
  <si>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</si>
  <si>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</si>
  <si>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</si>
  <si>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</si>
  <si>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</si>
  <si>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</si>
  <si>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</si>
  <si>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</si>
  <si>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</si>
  <si>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</si>
  <si>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</si>
  <si>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</si>
  <si>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</si>
  <si>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</si>
  <si>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</si>
  <si>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</si>
  <si>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</si>
  <si>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</si>
  <si>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</si>
  <si>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</si>
  <si>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</si>
  <si>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</si>
  <si>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</si>
  <si>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</si>
  <si>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</si>
  <si>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</si>
  <si>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</si>
  <si>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</si>
  <si>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</si>
  <si>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</si>
  <si>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</si>
  <si>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</si>
  <si>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</si>
  <si>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</si>
  <si>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</si>
  <si>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</si>
  <si>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</si>
  <si>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</si>
  <si>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</si>
  <si>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</si>
  <si>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</si>
  <si>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</si>
  <si>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</si>
  <si>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</si>
  <si>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</si>
  <si>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</si>
  <si>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</si>
  <si>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</si>
  <si>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</si>
  <si>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</si>
  <si>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</si>
  <si>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</si>
  <si>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</si>
  <si>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</si>
  <si>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</si>
  <si>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</si>
  <si>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</si>
  <si>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</si>
  <si>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</si>
  <si>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</si>
  <si>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</si>
  <si>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</si>
  <si>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</si>
  <si>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</si>
  <si>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</si>
  <si>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</si>
  <si>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</si>
  <si>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</si>
  <si>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</si>
  <si>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</si>
  <si>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</si>
  <si>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</si>
  <si>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</si>
  <si>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</si>
  <si>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</si>
  <si>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</si>
  <si>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</si>
  <si>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</si>
  <si>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</si>
  <si>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</si>
  <si>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</si>
  <si>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</si>
  <si>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</si>
  <si>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</si>
  <si>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</si>
  <si>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</si>
  <si>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</si>
  <si>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</si>
  <si>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</si>
  <si>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</si>
  <si>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</si>
  <si>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</si>
  <si>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</si>
  <si>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</si>
  <si>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</si>
  <si>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</si>
  <si>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</si>
  <si>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</si>
  <si>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</si>
  <si>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</si>
  <si>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</si>
  <si>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</si>
  <si>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</si>
  <si>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</si>
  <si>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</si>
  <si>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</si>
  <si>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</si>
  <si>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</si>
  <si>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</si>
  <si>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</si>
  <si>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</si>
  <si>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</si>
  <si>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</si>
  <si>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</si>
  <si>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</si>
  <si>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</si>
  <si>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</si>
  <si>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</si>
  <si>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</si>
  <si>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</si>
  <si>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</si>
  <si>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</si>
  <si>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</si>
  <si>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</si>
  <si>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</si>
  <si>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</si>
  <si>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</si>
  <si>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</si>
  <si>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</si>
  <si>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</si>
  <si>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</si>
  <si>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</si>
  <si>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</si>
  <si>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</si>
  <si>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</si>
  <si>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</si>
  <si>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</si>
  <si>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</si>
  <si>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</si>
  <si>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</si>
  <si>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</si>
  <si>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</si>
  <si>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</si>
  <si>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</si>
  <si>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</si>
  <si>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</si>
  <si>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</si>
  <si>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</si>
  <si>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</si>
  <si>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</si>
  <si>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</si>
  <si>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</si>
  <si>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</si>
  <si>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</si>
  <si>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</si>
  <si>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</si>
  <si>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</si>
  <si>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</si>
  <si>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</si>
  <si>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</si>
  <si>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</si>
  <si>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</si>
  <si>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</si>
  <si>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</si>
  <si>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</si>
  <si>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</si>
  <si>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</si>
  <si>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</si>
  <si>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</si>
  <si>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</si>
  <si>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</si>
  <si>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</si>
  <si>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</si>
  <si>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</si>
  <si>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</si>
  <si>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</si>
  <si>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</si>
  <si>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</si>
  <si>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</si>
  <si>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</si>
  <si>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</si>
  <si>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</si>
  <si>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</si>
  <si>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</si>
  <si>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</si>
  <si>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</si>
  <si>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</si>
  <si>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</si>
  <si>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</si>
  <si>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</si>
  <si>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</si>
  <si>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</si>
  <si>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</si>
  <si>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</si>
  <si>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</si>
  <si>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</si>
  <si>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</si>
  <si>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</si>
  <si>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</si>
  <si>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</si>
  <si>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</si>
  <si>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</si>
  <si>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</si>
  <si>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</si>
  <si>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</si>
  <si>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</si>
  <si>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</si>
  <si>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</si>
  <si>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</si>
  <si>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</si>
  <si>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</si>
  <si>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</si>
  <si>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</si>
  <si>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</si>
  <si>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</si>
  <si>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</si>
  <si>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</si>
  <si>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</si>
  <si>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</si>
  <si>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</si>
  <si>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</si>
  <si>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</si>
  <si>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</si>
  <si>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</si>
  <si>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</si>
  <si>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</si>
  <si>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</si>
  <si>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</si>
  <si>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</si>
  <si>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</si>
  <si>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</si>
  <si>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</si>
  <si>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</si>
  <si>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</si>
  <si>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</si>
  <si>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</si>
  <si>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</si>
  <si>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</si>
  <si>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</si>
  <si>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</si>
  <si>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</si>
  <si>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</si>
  <si>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</si>
  <si>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</si>
  <si>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</si>
  <si>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</si>
  <si>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</si>
  <si>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</si>
  <si>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</si>
  <si>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</si>
  <si>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</si>
  <si>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</si>
  <si>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</si>
  <si>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</si>
  <si>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</si>
  <si>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</si>
  <si>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</si>
  <si>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</si>
  <si>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</si>
  <si>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</si>
  <si>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</si>
  <si>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</si>
  <si>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</si>
  <si>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</si>
  <si>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</si>
  <si>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</si>
  <si>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</si>
  <si>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</si>
  <si>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</si>
  <si>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</si>
  <si>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</si>
  <si>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</si>
  <si>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</si>
  <si>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</si>
  <si>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</si>
  <si>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</si>
  <si>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</si>
  <si>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</si>
  <si>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</si>
  <si>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</si>
  <si>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</si>
  <si>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</si>
  <si>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</si>
  <si>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</si>
  <si>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</si>
  <si>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</si>
  <si>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</si>
  <si>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</si>
  <si>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</si>
  <si>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</si>
  <si>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</si>
  <si>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</si>
  <si>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</si>
  <si>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</si>
  <si>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</si>
  <si>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</si>
  <si>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</si>
  <si>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</si>
  <si>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</si>
  <si>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</si>
  <si>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</si>
  <si>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</si>
  <si>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</si>
  <si>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</si>
  <si>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</si>
  <si>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</si>
  <si>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</si>
  <si>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</si>
  <si>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</si>
  <si>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</si>
  <si>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</si>
  <si>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</si>
  <si>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</si>
  <si>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</si>
  <si>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</si>
  <si>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</si>
  <si>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</si>
  <si>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</si>
  <si>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</si>
  <si>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</si>
  <si>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</si>
  <si>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</si>
  <si>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</si>
  <si>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</si>
  <si>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</si>
  <si>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</si>
  <si>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</si>
  <si>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</si>
  <si>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</si>
  <si>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</si>
  <si>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</si>
  <si>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</si>
  <si>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</si>
  <si>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</si>
  <si>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</si>
  <si>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</si>
  <si>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</si>
  <si>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</si>
  <si>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</si>
  <si>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</si>
  <si>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</si>
  <si>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</si>
  <si>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</si>
  <si>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</si>
  <si>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</si>
  <si>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</si>
  <si>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</si>
  <si>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</si>
  <si>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</si>
  <si>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</si>
  <si>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</si>
  <si>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</si>
  <si>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</si>
  <si>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</si>
  <si>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</si>
  <si>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</si>
  <si>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</si>
  <si>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</si>
  <si>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</si>
  <si>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</si>
  <si>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</si>
  <si>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</si>
  <si>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</si>
  <si>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</si>
  <si>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</si>
  <si>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</si>
  <si>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</si>
  <si>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</si>
  <si>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</si>
  <si>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</si>
  <si>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</si>
  <si>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</si>
  <si>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</si>
  <si>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</si>
  <si>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</si>
  <si>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</si>
  <si>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</si>
  <si>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</si>
  <si>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</si>
  <si>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</si>
  <si>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</si>
  <si>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</si>
  <si>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</si>
  <si>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</si>
  <si>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</si>
  <si>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</si>
  <si>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</si>
  <si>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</si>
  <si>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</si>
  <si>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</si>
  <si>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</si>
  <si>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</si>
  <si>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</si>
  <si>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</si>
  <si>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</si>
  <si>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</si>
  <si>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</si>
  <si>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</si>
  <si>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</si>
  <si>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</si>
  <si>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</si>
  <si>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</si>
  <si>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</si>
  <si>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</si>
  <si>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</si>
  <si>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</si>
  <si>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</si>
  <si>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</si>
  <si>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</si>
  <si>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</si>
  <si>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</si>
  <si>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</si>
  <si>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</si>
  <si>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</si>
  <si>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</si>
  <si>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</si>
  <si>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</si>
  <si>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</si>
  <si>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</si>
  <si>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</si>
  <si>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</si>
  <si>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</si>
  <si>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</si>
  <si>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</si>
  <si>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</si>
  <si>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</si>
  <si>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</si>
  <si>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</si>
  <si>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</si>
  <si>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</si>
  <si>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</si>
  <si>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</si>
  <si>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</si>
  <si>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</si>
  <si>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</si>
  <si>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</si>
  <si>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</si>
  <si>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</si>
  <si>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</si>
  <si>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</si>
  <si>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</si>
  <si>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</si>
  <si>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</si>
  <si>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</si>
  <si>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</si>
  <si>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</si>
  <si>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</si>
  <si>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</si>
  <si>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</si>
  <si>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</si>
  <si>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</si>
  <si>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</si>
  <si>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</si>
  <si>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</si>
  <si>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</si>
  <si>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</si>
  <si>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</si>
  <si>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</si>
  <si>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</si>
  <si>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</si>
  <si>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</si>
  <si>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</si>
  <si>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</si>
  <si>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</si>
  <si>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</si>
  <si>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</si>
  <si>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</si>
  <si>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</si>
  <si>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</si>
  <si>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</si>
  <si>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</si>
  <si>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</si>
  <si>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</si>
  <si>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</si>
  <si>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</si>
  <si>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</si>
  <si>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</si>
  <si>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</si>
  <si>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</si>
  <si>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</si>
  <si>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</si>
  <si>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</si>
  <si>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</si>
  <si>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</si>
  <si>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</si>
  <si>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</si>
  <si>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</si>
  <si>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</si>
  <si>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</si>
  <si>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</si>
  <si>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</si>
  <si>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</si>
  <si>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</si>
  <si>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</si>
  <si>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</si>
  <si>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</si>
  <si>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</si>
  <si>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</si>
  <si>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</si>
  <si>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</si>
  <si>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</si>
  <si>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</si>
  <si>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</si>
  <si>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</si>
  <si>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</si>
  <si>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</si>
  <si>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</si>
  <si>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</si>
  <si>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</si>
  <si>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</si>
  <si>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</si>
  <si>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</si>
  <si>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</si>
  <si>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</si>
  <si>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</si>
  <si>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</si>
  <si>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</si>
  <si>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</si>
  <si>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</si>
  <si>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</si>
  <si>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</si>
  <si>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</si>
  <si>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</si>
  <si>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</si>
  <si>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</si>
  <si>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</si>
  <si>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</si>
  <si>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</si>
  <si>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</si>
  <si>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</si>
  <si>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</si>
  <si>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</si>
  <si>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</si>
  <si>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</si>
  <si>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</si>
  <si>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</si>
  <si>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</si>
  <si>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</si>
  <si>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</si>
  <si>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</si>
  <si>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</si>
  <si>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</si>
  <si>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</si>
  <si>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</si>
  <si>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</si>
  <si>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</si>
  <si>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</si>
  <si>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</si>
  <si>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</si>
  <si>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</si>
  <si>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</si>
  <si>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</si>
  <si>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</si>
  <si>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</si>
  <si>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</si>
  <si>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</si>
  <si>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</si>
  <si>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</si>
  <si>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</si>
  <si>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</si>
  <si>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</si>
  <si>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</si>
  <si>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</si>
  <si>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</si>
  <si>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</si>
  <si>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</si>
  <si>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</si>
  <si>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</si>
  <si>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</si>
  <si>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</si>
  <si>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</si>
  <si>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</si>
  <si>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</si>
  <si>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</si>
  <si>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</si>
  <si>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</si>
  <si>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</si>
  <si>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</si>
  <si>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</si>
  <si>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</si>
  <si>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</si>
  <si>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</si>
  <si>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</si>
  <si>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</si>
  <si>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</si>
  <si>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</si>
  <si>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</si>
  <si>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</si>
  <si>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</si>
  <si>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</si>
  <si>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</si>
  <si>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</si>
  <si>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</si>
  <si>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</si>
  <si>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</si>
  <si>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</si>
  <si>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</si>
  <si>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</si>
  <si>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</si>
  <si>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</si>
  <si>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</si>
  <si>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</si>
  <si>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</si>
  <si>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</si>
  <si>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</si>
  <si>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</si>
  <si>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</si>
  <si>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</si>
  <si>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</si>
  <si>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</si>
  <si>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</si>
  <si>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</si>
  <si>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</si>
  <si>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</si>
  <si>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</si>
  <si>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</si>
  <si>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</si>
  <si>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</si>
  <si>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</si>
  <si>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</si>
  <si>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</si>
  <si>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</si>
  <si>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</si>
  <si>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</si>
  <si>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</si>
  <si>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</si>
  <si>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</si>
  <si>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</si>
  <si>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</si>
  <si>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</si>
  <si>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</si>
  <si>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</si>
  <si>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</si>
  <si>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</si>
  <si>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</si>
  <si>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</si>
  <si>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</si>
  <si>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</si>
  <si>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</si>
  <si>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</si>
  <si>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</si>
  <si>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</si>
  <si>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</si>
  <si>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</si>
  <si>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</si>
  <si>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</si>
  <si>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</si>
  <si>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</si>
  <si>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</si>
  <si>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</si>
  <si>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</si>
  <si>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</si>
  <si>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</si>
  <si>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</si>
  <si>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</si>
  <si>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</si>
  <si>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</si>
  <si>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</si>
  <si>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</si>
  <si>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</si>
  <si>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</si>
  <si>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</si>
  <si>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</si>
  <si>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</si>
  <si>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</si>
  <si>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</si>
  <si>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</si>
  <si>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</si>
  <si>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</si>
  <si>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</si>
  <si>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</si>
  <si>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</si>
  <si>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</si>
  <si>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</si>
  <si>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</si>
  <si>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</si>
  <si>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</si>
  <si>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</si>
  <si>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</si>
  <si>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</si>
  <si>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</si>
  <si>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</si>
  <si>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</si>
  <si>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</si>
  <si>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</si>
  <si>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</si>
  <si>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</si>
  <si>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</si>
  <si>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</si>
  <si>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</si>
  <si>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</si>
  <si>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</si>
  <si>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</si>
  <si>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</si>
  <si>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</si>
  <si>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</si>
  <si>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</si>
  <si>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</si>
  <si>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</si>
  <si>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</si>
  <si>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</si>
  <si>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</si>
  <si>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</si>
  <si>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</si>
  <si>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</si>
  <si>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</si>
  <si>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</si>
  <si>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</si>
  <si>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</si>
  <si>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</si>
  <si>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</si>
  <si>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</si>
  <si>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</si>
  <si>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</si>
  <si>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</si>
  <si>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</si>
  <si>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</si>
  <si>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</si>
  <si>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</si>
  <si>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</si>
  <si>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</si>
  <si>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</si>
  <si>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</si>
  <si>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</si>
  <si>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</si>
  <si>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</si>
  <si>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</si>
  <si>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</si>
  <si>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</si>
  <si>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</si>
  <si>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</si>
  <si>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</si>
  <si>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</si>
  <si>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</si>
  <si>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</si>
  <si>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</si>
  <si>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</si>
  <si>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</si>
  <si>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</si>
  <si>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</si>
  <si>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</si>
  <si>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</si>
  <si>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</si>
  <si>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</si>
  <si>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</si>
  <si>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</si>
  <si>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</si>
  <si>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</si>
  <si>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</si>
  <si>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</si>
  <si>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</si>
  <si>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</si>
  <si>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</si>
  <si>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</si>
  <si>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</si>
  <si>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</si>
  <si>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</si>
  <si>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</si>
  <si>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</si>
  <si>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</si>
  <si>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</si>
  <si>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</si>
  <si>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</si>
  <si>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</si>
  <si>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</si>
  <si>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</si>
  <si>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</si>
  <si>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</si>
  <si>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</si>
  <si>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</si>
  <si>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</si>
  <si>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</si>
  <si>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</si>
  <si>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</si>
  <si>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</si>
  <si>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</si>
  <si>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</si>
  <si>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</si>
  <si>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</si>
  <si>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</si>
  <si>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</si>
  <si>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</si>
  <si>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</si>
  <si>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</si>
  <si>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</si>
  <si>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</si>
  <si>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</si>
  <si>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</si>
  <si>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</si>
  <si>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</si>
  <si>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</si>
  <si>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</si>
  <si>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</si>
  <si>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</si>
  <si>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</si>
  <si>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</si>
  <si>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</si>
  <si>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</si>
  <si>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</si>
  <si>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</si>
  <si>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</si>
  <si>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</si>
  <si>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</si>
  <si>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</si>
  <si>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</si>
  <si>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</si>
  <si>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</si>
  <si>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</si>
  <si>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</si>
  <si>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</si>
  <si>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</si>
  <si>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</si>
  <si>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</si>
  <si>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</si>
  <si>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</si>
  <si>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</si>
  <si>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</si>
  <si>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</si>
  <si>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</si>
  <si>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</si>
  <si>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</si>
  <si>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</si>
  <si>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</si>
  <si>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</si>
  <si>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</si>
  <si>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</si>
  <si>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</si>
  <si>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</si>
  <si>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</si>
  <si>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</si>
  <si>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</si>
  <si>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</si>
  <si>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</si>
  <si>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</si>
  <si>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</si>
  <si>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</si>
  <si>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</si>
  <si>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</si>
  <si>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</si>
  <si>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</si>
  <si>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</si>
  <si>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</si>
  <si>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</si>
  <si>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</si>
  <si>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</si>
  <si>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</si>
  <si>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</si>
  <si>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</si>
  <si>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</si>
  <si>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</si>
  <si>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</si>
  <si>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</si>
  <si>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</si>
  <si>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</si>
  <si>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</si>
  <si>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</si>
  <si>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</si>
  <si>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</si>
  <si>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</si>
  <si>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</si>
  <si>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</si>
  <si>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</si>
  <si>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</si>
  <si>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</si>
  <si>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</si>
  <si>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</si>
  <si>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</si>
  <si>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</si>
  <si>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</si>
  <si>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</si>
  <si>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</si>
  <si>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</si>
  <si>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</si>
  <si>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</si>
  <si>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</si>
  <si>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</si>
  <si>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</si>
  <si>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</si>
  <si>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</si>
  <si>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</si>
  <si>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</si>
  <si>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</si>
  <si>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</si>
  <si>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</si>
  <si>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</si>
  <si>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</si>
  <si>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</si>
  <si>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</si>
  <si>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</si>
  <si>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</si>
  <si>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</si>
  <si>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</si>
  <si>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</si>
  <si>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</si>
  <si>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</si>
  <si>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</si>
  <si>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</si>
  <si>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</si>
  <si>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</si>
  <si>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</si>
  <si>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</si>
  <si>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</si>
  <si>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</si>
  <si>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</si>
  <si>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</si>
  <si>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</si>
  <si>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</si>
  <si>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</si>
  <si>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</si>
  <si>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</si>
  <si>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</si>
  <si>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</si>
  <si>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</si>
  <si>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</si>
  <si>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</si>
  <si>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</si>
  <si>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</si>
  <si>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</si>
  <si>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</si>
  <si>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</si>
  <si>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</si>
  <si>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</si>
  <si>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</si>
  <si>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</si>
  <si>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</si>
  <si>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</si>
  <si>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</si>
  <si>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</si>
  <si>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</si>
  <si>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</si>
  <si>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</si>
  <si>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</si>
  <si>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</si>
  <si>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</si>
  <si>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</si>
  <si>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</si>
  <si>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</si>
  <si>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</si>
  <si>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</si>
  <si>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</si>
  <si>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</si>
  <si>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</si>
  <si>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</si>
  <si>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</si>
  <si>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</si>
  <si>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</si>
  <si>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</si>
  <si>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</si>
  <si>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</si>
  <si>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</si>
  <si>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</si>
  <si>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</si>
  <si>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</si>
  <si>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</si>
  <si>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</si>
  <si>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</si>
  <si>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</si>
  <si>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</si>
  <si>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</si>
  <si>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</si>
  <si>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</si>
  <si>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</si>
  <si>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</si>
  <si>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</si>
  <si>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</si>
  <si>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</si>
  <si>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</si>
  <si>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</si>
  <si>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</si>
  <si>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</si>
  <si>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</si>
  <si>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</si>
  <si>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</si>
  <si>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</si>
  <si>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</si>
  <si>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</si>
  <si>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</si>
  <si>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</si>
  <si>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</si>
  <si>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</si>
  <si>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</si>
  <si>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</si>
  <si>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</si>
  <si>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</si>
  <si>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</si>
  <si>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</si>
  <si>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</si>
  <si>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</si>
  <si>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</si>
  <si>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</si>
  <si>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</si>
  <si>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</si>
  <si>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</si>
  <si>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</si>
  <si>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</si>
  <si>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</si>
  <si>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</si>
  <si>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</si>
  <si>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</si>
  <si>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</si>
  <si>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</si>
  <si>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</si>
  <si>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</si>
  <si>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</si>
  <si>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</si>
  <si>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</si>
  <si>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</si>
  <si>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</si>
  <si>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</si>
  <si>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</si>
  <si>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</si>
  <si>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</si>
  <si>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</si>
  <si>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</si>
  <si>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</si>
  <si>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</si>
  <si>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</si>
  <si>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</si>
  <si>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</si>
  <si>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</si>
  <si>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</si>
  <si>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</si>
  <si>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</si>
  <si>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</si>
  <si>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</si>
  <si>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</si>
  <si>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</si>
  <si>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</si>
  <si>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</si>
  <si>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</si>
  <si>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</si>
  <si>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</si>
  <si>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</si>
  <si>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</si>
  <si>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</si>
  <si>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</si>
  <si>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</si>
  <si>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</si>
  <si>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</si>
  <si>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</si>
  <si>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</si>
  <si>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</si>
  <si>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</si>
  <si>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</si>
  <si>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</si>
  <si>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</si>
  <si>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</si>
  <si>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</si>
  <si>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Mack &amp; Associates, P.C.</t>
  </si>
  <si>
    <t>Tawnya Mack, CPA</t>
  </si>
  <si>
    <t>116 E Washington St., Suite 1</t>
  </si>
  <si>
    <t>Morris</t>
  </si>
  <si>
    <t>IL</t>
  </si>
  <si>
    <t>815-942-3306</t>
  </si>
  <si>
    <t>815-942-9430</t>
  </si>
  <si>
    <t>tmack@mackcpas.com</t>
  </si>
  <si>
    <t>x</t>
  </si>
  <si>
    <t>LaSalle, DeKalb, and Lee</t>
  </si>
  <si>
    <t>415 W Union Street</t>
  </si>
  <si>
    <t>Earlville</t>
  </si>
  <si>
    <t>maviles@earlville9.org</t>
  </si>
  <si>
    <t>Rich Faivre</t>
  </si>
  <si>
    <t>rfaivre@earlville9.org</t>
  </si>
  <si>
    <t>815-246-8361</t>
  </si>
  <si>
    <t>815-246-8672</t>
  </si>
  <si>
    <t>See PDF in Opinion Page for signature</t>
  </si>
  <si>
    <t>G.O. School Refunding Bonds, Series 2015</t>
  </si>
  <si>
    <t>G.O. School Refunding Bonds, Series 2016</t>
  </si>
  <si>
    <t>G.O. School Bonds Series 2017</t>
  </si>
  <si>
    <t>O&amp;M - O&amp;M PLANT - PURCHASED SERVICES</t>
  </si>
  <si>
    <t>A BEEP, INC</t>
  </si>
  <si>
    <t>RIVAL 5 TECHNOLOGIES</t>
  </si>
  <si>
    <t>ED - INTERNAL SERVICES - PURCHASED SERVICES</t>
  </si>
  <si>
    <t>ED - DATA PROCESSING - PURCHASED SERVICES</t>
  </si>
  <si>
    <t>MARCO, INC</t>
  </si>
  <si>
    <t>PRAIRIE TECHNOLOGY</t>
  </si>
  <si>
    <t>TECHNOLOGY MGMT REVO</t>
  </si>
  <si>
    <t>X</t>
  </si>
  <si>
    <t>LaSalle County Food Cooperative</t>
  </si>
  <si>
    <t>LaSalle County Educational Alliance</t>
  </si>
  <si>
    <t>Indian Valley Vocational Center</t>
  </si>
  <si>
    <t>Page 11, Line 107 - Ed - Miscellaneous</t>
  </si>
  <si>
    <t>Page 11, Line 107 - O&amp;M - Miscellaneous</t>
  </si>
  <si>
    <t>Page 18, Line 171 - Bond Fees</t>
  </si>
  <si>
    <t>Page 11, Line 106 - Ed - Miscellaneous receipts</t>
  </si>
  <si>
    <t>Page 11, Line 107 - Trans. - Special Ed Other Leases</t>
  </si>
  <si>
    <t>065-029342</t>
  </si>
  <si>
    <t>Page 14, Line 265 - Ed - Erate Internet Grant</t>
  </si>
  <si>
    <t>ED - SUPPORT SERVICES - PSYCHOLOGICAL SERVICES</t>
  </si>
  <si>
    <t>WALLACE CCSD #195</t>
  </si>
  <si>
    <t>ED - SUPPORT SERVICES - SPEECH PATHOLOGY &amp; AUDIOLOGY SERVICES</t>
  </si>
  <si>
    <t>JAMI SEBASTIAN, MS</t>
  </si>
  <si>
    <t>SKYWARD</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</si>
  <si>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</si>
  <si>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</si>
  <si>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</si>
  <si>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</si>
  <si>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</si>
  <si>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</si>
  <si>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</si>
  <si>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</si>
  <si>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</si>
  <si>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</si>
  <si>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</si>
  <si>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</si>
  <si>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</si>
  <si>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</si>
  <si>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</si>
  <si>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</si>
  <si>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</si>
  <si>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</si>
  <si>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</si>
  <si>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</si>
  <si>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</si>
  <si>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</si>
  <si>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</si>
  <si>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</si>
  <si>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</si>
  <si>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</si>
  <si>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</si>
  <si>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</si>
  <si>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</si>
  <si>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</si>
  <si>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</si>
  <si>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</si>
  <si>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</si>
  <si>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</si>
  <si>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</si>
  <si>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</si>
  <si>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</si>
  <si>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Earlville CUSD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</si>
</sst>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2" fillId="0" borderId="0"/>
  </cellStyleXfs>
  <cellXfs count="271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66" fillId="22"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6" xfId="3" applyNumberFormat="1" applyFont="1" applyBorder="1" applyAlignment="1">
      <alignment vertical="center"/>
    </xf>
    <xf numFmtId="0" fontId="56" fillId="15" borderId="125"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5" xfId="0" applyNumberFormat="1" applyFont="1" applyBorder="1" applyAlignment="1">
      <alignment horizontal="center" vertical="center" wrapText="1"/>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8" fillId="0" borderId="0" xfId="3" applyFont="1" applyAlignment="1">
      <alignment horizontal="center" vertical="center"/>
    </xf>
    <xf numFmtId="0" fontId="2" fillId="0" borderId="0" xfId="20"/>
    <xf numFmtId="0" fontId="101" fillId="0" borderId="164" xfId="20" applyFont="1" applyBorder="1"/>
    <xf numFmtId="0" fontId="101" fillId="0" borderId="165" xfId="20" applyFont="1" applyBorder="1"/>
    <xf numFmtId="0" fontId="101" fillId="0" borderId="166" xfId="20" applyFont="1" applyBorder="1"/>
    <xf numFmtId="0" fontId="101" fillId="0" borderId="0" xfId="20" applyFont="1"/>
    <xf numFmtId="0" fontId="101" fillId="0" borderId="168" xfId="20" applyFont="1" applyBorder="1"/>
    <xf numFmtId="0" fontId="100" fillId="0" borderId="168" xfId="20" applyFont="1" applyBorder="1"/>
    <xf numFmtId="0" fontId="101" fillId="0" borderId="167" xfId="20" applyFont="1" applyBorder="1"/>
    <xf numFmtId="0" fontId="143" fillId="0" borderId="0" xfId="20" applyFont="1"/>
    <xf numFmtId="38" fontId="66" fillId="16" borderId="169"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26" borderId="77" xfId="20" applyNumberFormat="1" applyFont="1" applyFill="1" applyBorder="1" applyAlignment="1">
      <alignment horizontal="center"/>
    </xf>
    <xf numFmtId="0" fontId="58" fillId="26" borderId="77" xfId="20" applyFont="1" applyFill="1" applyBorder="1"/>
    <xf numFmtId="38" fontId="66" fillId="16" borderId="171" xfId="20" applyNumberFormat="1" applyFont="1" applyFill="1" applyBorder="1" applyAlignment="1">
      <alignment horizontal="center" wrapText="1"/>
    </xf>
    <xf numFmtId="38" fontId="58" fillId="0" borderId="172"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26" borderId="0" xfId="20" applyNumberFormat="1" applyFont="1" applyFill="1" applyAlignment="1">
      <alignment horizontal="center"/>
    </xf>
    <xf numFmtId="38" fontId="66" fillId="27" borderId="174" xfId="20" applyNumberFormat="1" applyFont="1" applyFill="1" applyBorder="1" applyAlignment="1" applyProtection="1">
      <alignment horizontal="center"/>
      <protection locked="0"/>
    </xf>
    <xf numFmtId="0" fontId="58" fillId="0" borderId="172" xfId="20" applyFont="1" applyBorder="1" applyAlignment="1">
      <alignment horizontal="center"/>
    </xf>
    <xf numFmtId="38" fontId="58" fillId="0" borderId="176"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66" fillId="27" borderId="178" xfId="20" applyNumberFormat="1" applyFont="1" applyFill="1" applyBorder="1" applyAlignment="1" applyProtection="1">
      <alignment horizontal="center"/>
      <protection locked="0"/>
    </xf>
    <xf numFmtId="0" fontId="58" fillId="0" borderId="176" xfId="20" applyFont="1" applyBorder="1" applyAlignment="1">
      <alignment horizontal="center"/>
    </xf>
    <xf numFmtId="38" fontId="58" fillId="0" borderId="180" xfId="20" applyNumberFormat="1" applyFont="1" applyBorder="1" applyAlignment="1" applyProtection="1">
      <alignment horizontal="center"/>
      <protection locked="0"/>
    </xf>
    <xf numFmtId="38" fontId="58" fillId="0" borderId="181" xfId="20" applyNumberFormat="1" applyFont="1" applyBorder="1" applyAlignment="1" applyProtection="1">
      <alignment horizontal="center"/>
      <protection locked="0"/>
    </xf>
    <xf numFmtId="38" fontId="66" fillId="27" borderId="182" xfId="20" applyNumberFormat="1" applyFont="1" applyFill="1" applyBorder="1" applyAlignment="1" applyProtection="1">
      <alignment horizontal="center"/>
      <protection locked="0"/>
    </xf>
    <xf numFmtId="0" fontId="58" fillId="0" borderId="180" xfId="20" applyFont="1" applyBorder="1" applyAlignment="1">
      <alignment horizontal="center"/>
    </xf>
    <xf numFmtId="0" fontId="102" fillId="0" borderId="169" xfId="20" applyFont="1" applyBorder="1" applyAlignment="1">
      <alignment horizontal="center" wrapText="1"/>
    </xf>
    <xf numFmtId="0" fontId="102" fillId="0" borderId="77" xfId="20" applyFont="1" applyBorder="1" applyAlignment="1">
      <alignment horizontal="center" wrapText="1"/>
    </xf>
    <xf numFmtId="0" fontId="58" fillId="26" borderId="77" xfId="20" applyFont="1" applyFill="1" applyBorder="1" applyAlignment="1">
      <alignment horizontal="center"/>
    </xf>
    <xf numFmtId="0" fontId="58" fillId="0" borderId="167" xfId="20" applyFont="1" applyBorder="1"/>
    <xf numFmtId="0" fontId="58" fillId="0" borderId="0" xfId="20" applyFont="1"/>
    <xf numFmtId="0" fontId="58" fillId="0" borderId="168" xfId="20" applyFont="1" applyBorder="1"/>
    <xf numFmtId="0" fontId="58" fillId="0" borderId="0" xfId="3" applyFont="1" applyAlignment="1">
      <alignment horizontal="right" vertical="center" indent="1"/>
    </xf>
    <xf numFmtId="0" fontId="144" fillId="0" borderId="168" xfId="20" applyFont="1" applyBorder="1"/>
    <xf numFmtId="0" fontId="100" fillId="0" borderId="167" xfId="20" applyFont="1" applyBorder="1" applyAlignment="1">
      <alignment wrapText="1"/>
    </xf>
    <xf numFmtId="0" fontId="100" fillId="0" borderId="0" xfId="20" applyFont="1" applyAlignment="1">
      <alignment wrapText="1"/>
    </xf>
    <xf numFmtId="0" fontId="89" fillId="0" borderId="0" xfId="20" applyFont="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58" fillId="0" borderId="164" xfId="3" applyFont="1" applyBorder="1" applyAlignment="1">
      <alignment vertical="center"/>
    </xf>
    <xf numFmtId="0" fontId="58" fillId="0" borderId="165" xfId="3" applyFont="1" applyBorder="1" applyAlignment="1">
      <alignment vertical="center"/>
    </xf>
    <xf numFmtId="0" fontId="58" fillId="0" borderId="166" xfId="3" applyFont="1" applyBorder="1" applyAlignment="1">
      <alignment vertical="center"/>
    </xf>
    <xf numFmtId="0" fontId="58" fillId="0" borderId="167" xfId="3" applyFont="1" applyBorder="1" applyAlignment="1">
      <alignment vertical="center"/>
    </xf>
    <xf numFmtId="0" fontId="58" fillId="0" borderId="168"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68"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68" xfId="3" applyFont="1" applyBorder="1" applyAlignment="1" applyProtection="1">
      <alignment vertical="center"/>
      <protection hidden="1"/>
    </xf>
    <xf numFmtId="0" fontId="66" fillId="0" borderId="168"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68"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19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19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2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20"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19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19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194" xfId="3" applyFont="1" applyFill="1" applyBorder="1" applyAlignment="1">
      <alignment horizontal="left"/>
    </xf>
    <xf numFmtId="0" fontId="66" fillId="0" borderId="0" xfId="3" applyFont="1" applyAlignment="1">
      <alignment horizontal="left" vertical="center"/>
    </xf>
    <xf numFmtId="0" fontId="58" fillId="0" borderId="185" xfId="3" applyFont="1" applyBorder="1" applyAlignment="1">
      <alignment vertical="center"/>
    </xf>
    <xf numFmtId="0" fontId="58" fillId="0" borderId="186" xfId="3" applyFont="1" applyBorder="1" applyAlignment="1">
      <alignment vertical="center"/>
    </xf>
    <xf numFmtId="0" fontId="66" fillId="0" borderId="186" xfId="3" applyFont="1" applyBorder="1" applyAlignment="1">
      <alignment horizontal="left" vertical="center"/>
    </xf>
    <xf numFmtId="0" fontId="66" fillId="0" borderId="186" xfId="3" applyFont="1" applyBorder="1" applyAlignment="1">
      <alignment horizontal="center" vertical="center"/>
    </xf>
    <xf numFmtId="0" fontId="58" fillId="0" borderId="195" xfId="3" applyFont="1" applyBorder="1" applyAlignment="1">
      <alignment vertical="center"/>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7" borderId="78" xfId="3" applyFont="1" applyFill="1" applyBorder="1" applyAlignment="1" applyProtection="1">
      <alignment horizontal="left" vertical="center" indent="1"/>
      <protection locked="0"/>
    </xf>
    <xf numFmtId="0" fontId="66" fillId="27" borderId="78" xfId="3" applyFont="1" applyFill="1" applyBorder="1" applyAlignment="1" applyProtection="1">
      <alignment horizontal="left" vertical="center"/>
      <protection locked="0"/>
    </xf>
    <xf numFmtId="0" fontId="58" fillId="22" borderId="168"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7" borderId="76" xfId="3" applyNumberFormat="1" applyFont="1" applyFill="1" applyBorder="1" applyAlignment="1" applyProtection="1">
      <alignment horizontal="left" vertical="center" indent="1"/>
      <protection locked="0"/>
    </xf>
    <xf numFmtId="0" fontId="66" fillId="0" borderId="19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8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5" fillId="0" borderId="191" xfId="20" applyFont="1" applyBorder="1" applyAlignment="1">
      <alignment horizontal="center"/>
    </xf>
    <xf numFmtId="0" fontId="145" fillId="0" borderId="190" xfId="20" applyFont="1" applyBorder="1" applyAlignment="1">
      <alignment horizontal="center"/>
    </xf>
    <xf numFmtId="0" fontId="145" fillId="0" borderId="189" xfId="20" applyFont="1" applyBorder="1" applyAlignment="1">
      <alignment horizontal="center"/>
    </xf>
    <xf numFmtId="0" fontId="58" fillId="0" borderId="168" xfId="20" applyFont="1" applyBorder="1" applyAlignment="1">
      <alignment wrapText="1"/>
    </xf>
    <xf numFmtId="0" fontId="58" fillId="0" borderId="0" xfId="20" applyFont="1" applyAlignment="1">
      <alignment wrapText="1"/>
    </xf>
    <xf numFmtId="0" fontId="58" fillId="0" borderId="167" xfId="20" applyFont="1" applyBorder="1" applyAlignment="1">
      <alignment wrapText="1"/>
    </xf>
    <xf numFmtId="0" fontId="58" fillId="0" borderId="179" xfId="20" applyFont="1" applyBorder="1"/>
    <xf numFmtId="0" fontId="58" fillId="0" borderId="176" xfId="20" applyFont="1" applyBorder="1"/>
    <xf numFmtId="166" fontId="58" fillId="0" borderId="21" xfId="3" applyNumberFormat="1" applyFont="1" applyBorder="1" applyAlignment="1">
      <alignment horizontal="left" vertical="center" indent="1"/>
    </xf>
    <xf numFmtId="166" fontId="58" fillId="0" borderId="187" xfId="3" applyNumberFormat="1" applyFont="1" applyBorder="1" applyAlignment="1">
      <alignment horizontal="left" vertical="center" indent="1"/>
    </xf>
    <xf numFmtId="0" fontId="58" fillId="26" borderId="170" xfId="20" applyFont="1" applyFill="1" applyBorder="1"/>
    <xf numFmtId="0" fontId="58" fillId="26" borderId="77" xfId="20" applyFont="1" applyFill="1" applyBorder="1"/>
    <xf numFmtId="0" fontId="66" fillId="0" borderId="186" xfId="20" applyFont="1" applyBorder="1" applyAlignment="1">
      <alignment horizontal="center" wrapText="1"/>
    </xf>
    <xf numFmtId="0" fontId="66" fillId="0" borderId="185" xfId="20" applyFont="1" applyBorder="1" applyAlignment="1">
      <alignment horizontal="center" wrapText="1"/>
    </xf>
    <xf numFmtId="0" fontId="102" fillId="0" borderId="184"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0" xfId="20" applyFont="1" applyBorder="1"/>
    <xf numFmtId="0" fontId="58" fillId="0" borderId="179" xfId="20" applyFont="1" applyBorder="1" applyAlignment="1">
      <alignment wrapText="1"/>
    </xf>
    <xf numFmtId="0" fontId="58" fillId="0" borderId="176" xfId="20" applyFont="1" applyBorder="1" applyAlignment="1">
      <alignment wrapText="1"/>
    </xf>
    <xf numFmtId="0" fontId="142" fillId="0" borderId="165" xfId="20" applyFont="1" applyBorder="1" applyAlignment="1">
      <alignment horizontal="left" vertical="center" wrapText="1"/>
    </xf>
    <xf numFmtId="0" fontId="142" fillId="0" borderId="0" xfId="20" applyFont="1" applyAlignment="1">
      <alignment horizontal="left" vertical="center" wrapText="1"/>
    </xf>
    <xf numFmtId="0" fontId="142" fillId="0" borderId="167" xfId="20" applyFont="1" applyBorder="1" applyAlignment="1">
      <alignment horizontal="left" vertical="center" wrapText="1"/>
    </xf>
    <xf numFmtId="0" fontId="102" fillId="0" borderId="0" xfId="20" applyFont="1" applyAlignment="1">
      <alignment horizontal="center" vertical="top" wrapText="1"/>
    </xf>
    <xf numFmtId="0" fontId="102" fillId="0" borderId="167" xfId="20" applyFont="1" applyBorder="1" applyAlignment="1">
      <alignment horizontal="center" vertical="top" wrapText="1"/>
    </xf>
    <xf numFmtId="0" fontId="58" fillId="0" borderId="175" xfId="20" applyFont="1" applyBorder="1"/>
    <xf numFmtId="0" fontId="58" fillId="0" borderId="172" xfId="20" applyFont="1" applyBorder="1"/>
    <xf numFmtId="0" fontId="66" fillId="0" borderId="170" xfId="20" applyFont="1" applyBorder="1"/>
    <xf numFmtId="0" fontId="66" fillId="0" borderId="77" xfId="20" applyFont="1" applyBorder="1"/>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6"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 6" xfId="20" xr:uid="{5E6D18BA-4D52-4612-8940-064FA047F1C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9">
        <f>+'AFR20'!E4</f>
        <v>44119</v>
      </c>
      <c r="C1" s="2109"/>
      <c r="D1" s="2110"/>
      <c r="I1" s="2188" t="s">
        <v>402</v>
      </c>
      <c r="J1" s="2189"/>
      <c r="K1" s="2189"/>
      <c r="L1" s="2189"/>
      <c r="M1" s="2189"/>
      <c r="N1" s="2189"/>
      <c r="O1" s="2189"/>
      <c r="P1" s="2189"/>
      <c r="Q1" s="2189"/>
      <c r="R1" s="2189"/>
      <c r="S1" s="2189"/>
    </row>
    <row r="2" spans="1:32" ht="12" customHeight="1" x14ac:dyDescent="0.2">
      <c r="A2" s="1889" t="str">
        <f>"Due to ISBE on "</f>
        <v xml:space="preserve">Due to ISBE on </v>
      </c>
      <c r="B2" s="2111">
        <f>+'AFR20'!F4</f>
        <v>44151</v>
      </c>
      <c r="C2" s="2111"/>
      <c r="D2" s="2112"/>
      <c r="I2" s="2190" t="s">
        <v>2006</v>
      </c>
      <c r="J2" s="2189"/>
      <c r="K2" s="2189"/>
      <c r="L2" s="2189"/>
      <c r="M2" s="2189"/>
      <c r="N2" s="2189"/>
      <c r="O2" s="2189"/>
      <c r="P2" s="2189"/>
      <c r="Q2" s="2189"/>
      <c r="R2" s="2189"/>
      <c r="S2" s="2189"/>
    </row>
    <row r="3" spans="1:32" ht="12" customHeight="1" x14ac:dyDescent="0.2">
      <c r="A3" s="1892" t="str">
        <f>"SD/JA"&amp;MID('AFR20'!E2,3,2)</f>
        <v>SD/JA20</v>
      </c>
      <c r="B3" s="151"/>
      <c r="C3" s="151"/>
      <c r="D3" s="152"/>
      <c r="I3" s="2190" t="s">
        <v>52</v>
      </c>
      <c r="J3" s="2189"/>
      <c r="K3" s="2189"/>
      <c r="L3" s="2189"/>
      <c r="M3" s="2189"/>
      <c r="N3" s="2189"/>
      <c r="O3" s="2189"/>
      <c r="P3" s="2189"/>
      <c r="Q3" s="2189"/>
      <c r="R3" s="2189"/>
      <c r="S3" s="2189"/>
    </row>
    <row r="4" spans="1:32" ht="12" customHeight="1" x14ac:dyDescent="0.2">
      <c r="A4" s="37"/>
      <c r="I4" s="2190" t="s">
        <v>521</v>
      </c>
      <c r="J4" s="2189"/>
      <c r="K4" s="2189"/>
      <c r="L4" s="2189"/>
      <c r="M4" s="2189"/>
      <c r="N4" s="2189"/>
      <c r="O4" s="2189"/>
      <c r="P4" s="2189"/>
      <c r="Q4" s="2189"/>
      <c r="R4" s="2189"/>
      <c r="S4" s="2189"/>
    </row>
    <row r="5" spans="1:32" ht="14.1" customHeight="1" x14ac:dyDescent="0.2">
      <c r="B5" s="101" t="s">
        <v>2029</v>
      </c>
      <c r="C5" s="26" t="s">
        <v>904</v>
      </c>
      <c r="D5" s="81"/>
      <c r="E5" s="81"/>
      <c r="H5" s="38"/>
      <c r="I5" s="2197" t="s">
        <v>675</v>
      </c>
      <c r="J5" s="2142"/>
      <c r="K5" s="2142"/>
      <c r="L5" s="2142"/>
      <c r="M5" s="2142"/>
      <c r="N5" s="2142"/>
      <c r="O5" s="2142"/>
      <c r="P5" s="2142"/>
      <c r="Q5" s="2142"/>
      <c r="R5" s="2142"/>
      <c r="S5" s="2142"/>
      <c r="AF5" s="1885"/>
    </row>
    <row r="6" spans="1:32" ht="14.1" customHeight="1" x14ac:dyDescent="0.2">
      <c r="B6" s="101"/>
      <c r="C6" s="26" t="s">
        <v>905</v>
      </c>
      <c r="D6" s="81"/>
      <c r="E6" s="81"/>
      <c r="I6" s="2196" t="s">
        <v>877</v>
      </c>
      <c r="J6" s="2142"/>
      <c r="K6" s="2142"/>
      <c r="L6" s="2142"/>
      <c r="M6" s="2142"/>
      <c r="N6" s="2142"/>
      <c r="O6" s="2142"/>
      <c r="P6" s="2142"/>
      <c r="Q6" s="2142"/>
      <c r="R6" s="2142"/>
      <c r="S6" s="2142"/>
    </row>
    <row r="7" spans="1:32" ht="12.2" customHeight="1" x14ac:dyDescent="0.2">
      <c r="I7" s="2191" t="str">
        <f>"June 30, "&amp;'AFR20'!E2</f>
        <v>June 30, 2020</v>
      </c>
      <c r="J7" s="2192"/>
      <c r="K7" s="2192"/>
      <c r="L7" s="2192"/>
      <c r="M7" s="2192"/>
      <c r="N7" s="2192"/>
      <c r="O7" s="2192"/>
      <c r="P7" s="2192"/>
      <c r="Q7" s="2192"/>
      <c r="R7" s="2192"/>
      <c r="S7" s="21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3" t="s">
        <v>669</v>
      </c>
      <c r="J9" s="2194"/>
      <c r="K9" s="2194"/>
      <c r="L9" s="2194"/>
      <c r="M9" s="2194"/>
      <c r="N9" s="2194"/>
      <c r="O9" s="2194"/>
      <c r="P9" s="2194"/>
      <c r="Q9" s="2194"/>
      <c r="R9" s="2194"/>
      <c r="S9" s="2195"/>
      <c r="T9" s="2138" t="s">
        <v>530</v>
      </c>
      <c r="U9" s="2139"/>
      <c r="V9" s="2139"/>
      <c r="W9" s="2139"/>
      <c r="X9" s="2139"/>
      <c r="Y9" s="2139"/>
      <c r="Z9" s="2139"/>
      <c r="AA9" s="2140"/>
    </row>
    <row r="10" spans="1:32" ht="13.5" customHeight="1" x14ac:dyDescent="0.2">
      <c r="A10" s="2147" t="s">
        <v>670</v>
      </c>
      <c r="B10" s="2148"/>
      <c r="C10" s="2148"/>
      <c r="D10" s="2148"/>
      <c r="E10" s="2148"/>
      <c r="F10" s="2148"/>
      <c r="G10" s="2148"/>
      <c r="H10" s="2149"/>
      <c r="I10" s="29"/>
      <c r="J10" s="30"/>
      <c r="K10" s="28"/>
      <c r="R10" s="30"/>
      <c r="S10" s="30"/>
      <c r="T10" s="2141"/>
      <c r="U10" s="2142"/>
      <c r="V10" s="2142"/>
      <c r="W10" s="2142"/>
      <c r="X10" s="2142"/>
      <c r="Y10" s="2142"/>
      <c r="Z10" s="2142"/>
      <c r="AA10" s="2143"/>
    </row>
    <row r="11" spans="1:32" ht="14.25" customHeight="1" x14ac:dyDescent="0.2">
      <c r="A11" s="2150" t="s">
        <v>949</v>
      </c>
      <c r="B11" s="2151"/>
      <c r="C11" s="2151"/>
      <c r="D11" s="2151"/>
      <c r="E11" s="2151"/>
      <c r="F11" s="2151"/>
      <c r="G11" s="2151"/>
      <c r="H11" s="2152"/>
      <c r="I11" s="27"/>
      <c r="J11" s="71"/>
      <c r="K11" s="27"/>
      <c r="O11" s="144" t="s">
        <v>2029</v>
      </c>
      <c r="P11" s="97" t="s">
        <v>199</v>
      </c>
      <c r="Q11" s="30"/>
      <c r="R11" s="28"/>
      <c r="S11" s="27"/>
      <c r="T11" s="2144"/>
      <c r="U11" s="2145"/>
      <c r="V11" s="2145"/>
      <c r="W11" s="2145"/>
      <c r="X11" s="2145"/>
      <c r="Y11" s="2145"/>
      <c r="Z11" s="2145"/>
      <c r="AA11" s="214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8">
        <v>35050009026</v>
      </c>
      <c r="B13" s="2159"/>
      <c r="C13" s="2159"/>
      <c r="D13" s="2159"/>
      <c r="E13" s="2159"/>
      <c r="F13" s="2159"/>
      <c r="G13" s="2159"/>
      <c r="H13" s="2160"/>
      <c r="I13" s="31"/>
      <c r="J13" s="30"/>
      <c r="K13" s="28"/>
      <c r="L13" s="30"/>
      <c r="M13" s="30"/>
      <c r="N13" s="30"/>
      <c r="O13" s="30"/>
      <c r="P13" s="30"/>
      <c r="Q13" s="30"/>
      <c r="R13" s="30"/>
      <c r="S13" s="30"/>
      <c r="T13" s="2163" t="s">
        <v>2021</v>
      </c>
      <c r="U13" s="2164"/>
      <c r="V13" s="2164"/>
      <c r="W13" s="2164"/>
      <c r="X13" s="2164"/>
      <c r="Y13" s="2165"/>
      <c r="Z13" s="2165"/>
      <c r="AA13" s="216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6" t="s">
        <v>2030</v>
      </c>
      <c r="B15" s="2161"/>
      <c r="C15" s="2161"/>
      <c r="D15" s="2161"/>
      <c r="E15" s="2161"/>
      <c r="F15" s="2161"/>
      <c r="G15" s="2161"/>
      <c r="H15" s="2162"/>
      <c r="T15" s="2124" t="s">
        <v>2022</v>
      </c>
      <c r="U15" s="2125"/>
      <c r="V15" s="2125"/>
      <c r="W15" s="2125"/>
      <c r="X15" s="2125"/>
      <c r="Y15" s="2167"/>
      <c r="Z15" s="2167"/>
      <c r="AA15" s="216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6" t="s">
        <v>2103</v>
      </c>
      <c r="B17" s="2186"/>
      <c r="C17" s="2186"/>
      <c r="D17" s="2186"/>
      <c r="E17" s="2186"/>
      <c r="F17" s="2186"/>
      <c r="G17" s="2186"/>
      <c r="H17" s="2187"/>
      <c r="T17" s="2173" t="s">
        <v>2023</v>
      </c>
      <c r="U17" s="2174"/>
      <c r="V17" s="2174"/>
      <c r="W17" s="2174"/>
      <c r="X17" s="2174"/>
      <c r="Y17" s="2174"/>
      <c r="Z17" s="2174"/>
      <c r="AA17" s="2175"/>
    </row>
    <row r="18" spans="1:27" ht="13.5" customHeight="1" x14ac:dyDescent="0.2">
      <c r="A18" s="82" t="s">
        <v>527</v>
      </c>
      <c r="B18" s="73"/>
      <c r="C18" s="69"/>
      <c r="D18" s="73"/>
      <c r="E18" s="73"/>
      <c r="F18" s="73"/>
      <c r="G18" s="73"/>
      <c r="H18" s="53"/>
      <c r="I18" s="2183" t="s">
        <v>671</v>
      </c>
      <c r="J18" s="2184"/>
      <c r="K18" s="2184"/>
      <c r="L18" s="2184"/>
      <c r="M18" s="2184"/>
      <c r="N18" s="2184"/>
      <c r="O18" s="2184"/>
      <c r="P18" s="2184"/>
      <c r="Q18" s="2184"/>
      <c r="R18" s="2184"/>
      <c r="S18" s="2185"/>
      <c r="T18" s="82" t="s">
        <v>706</v>
      </c>
      <c r="U18" s="48"/>
      <c r="V18" s="69"/>
      <c r="W18" s="47"/>
      <c r="X18" s="82" t="s">
        <v>264</v>
      </c>
      <c r="Y18" s="78"/>
      <c r="Z18" s="154" t="s">
        <v>672</v>
      </c>
      <c r="AA18" s="44"/>
    </row>
    <row r="19" spans="1:27" ht="13.5" customHeight="1" x14ac:dyDescent="0.2">
      <c r="A19" s="2156" t="s">
        <v>2031</v>
      </c>
      <c r="B19" s="2157"/>
      <c r="C19" s="2157"/>
      <c r="D19" s="2157"/>
      <c r="E19" s="2157"/>
      <c r="F19" s="2157"/>
      <c r="G19" s="2157"/>
      <c r="H19" s="2155"/>
      <c r="I19" s="30"/>
      <c r="J19" s="96"/>
      <c r="K19" s="40"/>
      <c r="L19" s="38"/>
      <c r="M19" s="109" t="s">
        <v>312</v>
      </c>
      <c r="P19" s="27"/>
      <c r="Q19" s="27"/>
      <c r="R19" s="27"/>
      <c r="S19" s="31"/>
      <c r="T19" s="2156" t="s">
        <v>2024</v>
      </c>
      <c r="U19" s="2154"/>
      <c r="V19" s="2154"/>
      <c r="W19" s="2155"/>
      <c r="X19" s="2171" t="s">
        <v>2025</v>
      </c>
      <c r="Y19" s="2172"/>
      <c r="Z19" s="2169">
        <v>60450</v>
      </c>
      <c r="AA19" s="217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3" t="s">
        <v>2032</v>
      </c>
      <c r="B21" s="2154"/>
      <c r="C21" s="2154"/>
      <c r="D21" s="2154"/>
      <c r="E21" s="2154"/>
      <c r="F21" s="2154"/>
      <c r="G21" s="2154"/>
      <c r="H21" s="2155"/>
      <c r="I21" s="2179" t="s">
        <v>673</v>
      </c>
      <c r="J21" s="2142"/>
      <c r="K21" s="2142"/>
      <c r="L21" s="2142"/>
      <c r="M21" s="2142"/>
      <c r="N21" s="2142"/>
      <c r="O21" s="2142"/>
      <c r="P21" s="2142"/>
      <c r="Q21" s="2142"/>
      <c r="R21" s="2142"/>
      <c r="S21" s="2143"/>
      <c r="T21" s="2121" t="s">
        <v>2026</v>
      </c>
      <c r="U21" s="2122"/>
      <c r="V21" s="2122"/>
      <c r="W21" s="2122"/>
      <c r="X21" s="2135" t="s">
        <v>2027</v>
      </c>
      <c r="Y21" s="2136"/>
      <c r="Z21" s="2136"/>
      <c r="AA21" s="2137"/>
    </row>
    <row r="22" spans="1:27" ht="13.5" customHeight="1" x14ac:dyDescent="0.2">
      <c r="A22" s="84" t="s">
        <v>528</v>
      </c>
      <c r="B22" s="56"/>
      <c r="C22" s="56"/>
      <c r="D22" s="56"/>
      <c r="E22" s="56"/>
      <c r="F22" s="56"/>
      <c r="G22" s="56"/>
      <c r="H22" s="57"/>
      <c r="I22" s="2180" t="s">
        <v>1415</v>
      </c>
      <c r="J22" s="2181"/>
      <c r="K22" s="2181"/>
      <c r="L22" s="2181"/>
      <c r="M22" s="2181"/>
      <c r="N22" s="2181"/>
      <c r="O22" s="2181"/>
      <c r="P22" s="2181"/>
      <c r="Q22" s="2181"/>
      <c r="R22" s="2181"/>
      <c r="S22" s="2182"/>
      <c r="T22" s="82" t="s">
        <v>1502</v>
      </c>
      <c r="U22" s="48"/>
      <c r="V22" s="69"/>
      <c r="W22" s="48"/>
      <c r="X22" s="155" t="s">
        <v>1309</v>
      </c>
      <c r="Z22" s="43"/>
      <c r="AA22" s="44"/>
    </row>
    <row r="23" spans="1:27" ht="13.5" customHeight="1" x14ac:dyDescent="0.2">
      <c r="A23" s="2176" t="s">
        <v>2033</v>
      </c>
      <c r="B23" s="2177"/>
      <c r="C23" s="2177"/>
      <c r="D23" s="2177"/>
      <c r="E23" s="2177"/>
      <c r="F23" s="2177"/>
      <c r="G23" s="2177"/>
      <c r="H23" s="2178"/>
      <c r="T23" s="2116" t="s">
        <v>2059</v>
      </c>
      <c r="U23" s="2117"/>
      <c r="V23" s="2117"/>
      <c r="W23" s="2117"/>
      <c r="X23" s="2132">
        <v>44469</v>
      </c>
      <c r="Y23" s="2133"/>
      <c r="Z23" s="2133"/>
      <c r="AA23" s="2134"/>
    </row>
    <row r="24" spans="1:27" ht="14.1" customHeight="1" x14ac:dyDescent="0.2">
      <c r="A24" s="85" t="s">
        <v>672</v>
      </c>
      <c r="B24" s="46"/>
      <c r="C24" s="46"/>
      <c r="D24" s="46"/>
      <c r="E24" s="46"/>
      <c r="F24" s="46"/>
      <c r="G24" s="46"/>
      <c r="H24" s="58"/>
      <c r="J24" s="2218">
        <f>IF(B5="x",IF(AUDITCHECK!D29="AFR form Incomplete.","",IF(AUDITCHECK!D29="Deficit reduction plan is required.","School District must complete a deficit reduction plan in the 2019-2020 Budget",)),"")</f>
        <v>0</v>
      </c>
      <c r="K24" s="2218"/>
      <c r="L24" s="2218"/>
      <c r="M24" s="2218"/>
      <c r="N24" s="2218"/>
      <c r="O24" s="2218"/>
      <c r="P24" s="2218"/>
      <c r="Q24" s="2218"/>
      <c r="R24" s="2218"/>
      <c r="S24" s="2219"/>
      <c r="T24" s="102" t="s">
        <v>528</v>
      </c>
      <c r="U24" s="103"/>
      <c r="V24" s="103"/>
      <c r="W24" s="103"/>
      <c r="X24" s="104"/>
      <c r="Y24" s="104"/>
      <c r="Z24" s="104"/>
      <c r="AA24" s="105"/>
    </row>
    <row r="25" spans="1:27" ht="14.1" customHeight="1" x14ac:dyDescent="0.2">
      <c r="A25" s="2153">
        <v>60518</v>
      </c>
      <c r="B25" s="2154"/>
      <c r="C25" s="2154"/>
      <c r="D25" s="2154"/>
      <c r="E25" s="2154"/>
      <c r="F25" s="2154"/>
      <c r="G25" s="2154"/>
      <c r="H25" s="2155"/>
      <c r="I25" s="110"/>
      <c r="J25" s="2220"/>
      <c r="K25" s="2220"/>
      <c r="L25" s="2220"/>
      <c r="M25" s="2220"/>
      <c r="N25" s="2220"/>
      <c r="O25" s="2220"/>
      <c r="P25" s="2220"/>
      <c r="Q25" s="2220"/>
      <c r="R25" s="2220"/>
      <c r="S25" s="2221"/>
      <c r="T25" s="2113" t="s">
        <v>2028</v>
      </c>
      <c r="U25" s="2114"/>
      <c r="V25" s="2114"/>
      <c r="W25" s="2114"/>
      <c r="X25" s="2114"/>
      <c r="Y25" s="2114"/>
      <c r="Z25" s="2114"/>
      <c r="AA25" s="211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11" t="s">
        <v>1497</v>
      </c>
      <c r="J27" s="2184"/>
      <c r="K27" s="2184"/>
      <c r="L27" s="2184"/>
      <c r="M27" s="2184"/>
      <c r="N27" s="2184"/>
      <c r="O27" s="2184"/>
      <c r="P27" s="2184"/>
      <c r="Q27" s="2184"/>
      <c r="R27" s="2184"/>
      <c r="S27" s="218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2029</v>
      </c>
      <c r="F29" s="137" t="s">
        <v>1307</v>
      </c>
      <c r="G29" s="111"/>
      <c r="I29" s="51"/>
      <c r="J29" s="99"/>
      <c r="K29" s="28" t="s">
        <v>572</v>
      </c>
      <c r="L29" s="144" t="s">
        <v>2029</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2029</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2029</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7"/>
      <c r="Q35" s="2154"/>
      <c r="R35" s="215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6" t="s">
        <v>2034</v>
      </c>
      <c r="B38" s="2186"/>
      <c r="C38" s="2186"/>
      <c r="D38" s="2186"/>
      <c r="E38" s="2186"/>
      <c r="F38" s="2154"/>
      <c r="G38" s="2154"/>
      <c r="H38" s="2155"/>
      <c r="I38" s="2205"/>
      <c r="J38" s="2125"/>
      <c r="K38" s="2125"/>
      <c r="L38" s="2125"/>
      <c r="M38" s="2125"/>
      <c r="N38" s="2125"/>
      <c r="O38" s="2125"/>
      <c r="P38" s="2126"/>
      <c r="Q38" s="2126"/>
      <c r="R38" s="2126"/>
      <c r="S38" s="2127"/>
      <c r="T38" s="2124"/>
      <c r="U38" s="2125"/>
      <c r="V38" s="2125"/>
      <c r="W38" s="2125"/>
      <c r="X38" s="2126"/>
      <c r="Y38" s="2126"/>
      <c r="Z38" s="2126"/>
      <c r="AA38" s="2127"/>
    </row>
    <row r="39" spans="1:27" ht="12" customHeight="1" x14ac:dyDescent="0.2">
      <c r="A39" s="2209" t="s">
        <v>528</v>
      </c>
      <c r="B39" s="2210"/>
      <c r="C39" s="69"/>
      <c r="D39" s="66"/>
      <c r="E39" s="66"/>
      <c r="F39" s="76"/>
      <c r="G39" s="66"/>
      <c r="H39" s="53"/>
      <c r="I39" s="2209" t="s">
        <v>528</v>
      </c>
      <c r="J39" s="2210"/>
      <c r="K39" s="2210"/>
      <c r="L39" s="2210"/>
      <c r="M39" s="2210"/>
      <c r="N39" s="64"/>
      <c r="O39" s="69"/>
      <c r="P39" s="69"/>
      <c r="Q39" s="75"/>
      <c r="R39" s="69"/>
      <c r="S39" s="53"/>
      <c r="T39" s="69" t="s">
        <v>528</v>
      </c>
      <c r="U39" s="48"/>
      <c r="V39" s="69"/>
      <c r="W39" s="47"/>
      <c r="X39" s="75"/>
      <c r="Y39" s="43"/>
      <c r="Z39" s="43"/>
      <c r="AA39" s="44"/>
    </row>
    <row r="40" spans="1:27" ht="13.5" customHeight="1" x14ac:dyDescent="0.2">
      <c r="A40" s="2212" t="s">
        <v>2035</v>
      </c>
      <c r="B40" s="2213"/>
      <c r="C40" s="2214"/>
      <c r="D40" s="2214"/>
      <c r="E40" s="2214"/>
      <c r="F40" s="2215"/>
      <c r="G40" s="2215"/>
      <c r="H40" s="2216"/>
      <c r="I40" s="2128"/>
      <c r="J40" s="2130"/>
      <c r="K40" s="2130"/>
      <c r="L40" s="2130"/>
      <c r="M40" s="2130"/>
      <c r="N40" s="2130"/>
      <c r="O40" s="2130"/>
      <c r="P40" s="2130"/>
      <c r="Q40" s="2130"/>
      <c r="R40" s="2130"/>
      <c r="S40" s="2131"/>
      <c r="T40" s="2128"/>
      <c r="U40" s="2129"/>
      <c r="V40" s="2130"/>
      <c r="W40" s="2130"/>
      <c r="X40" s="2130"/>
      <c r="Y40" s="2130"/>
      <c r="Z40" s="2130"/>
      <c r="AA40" s="213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02" t="s">
        <v>2036</v>
      </c>
      <c r="B42" s="2203"/>
      <c r="C42" s="2204"/>
      <c r="D42" s="2217" t="s">
        <v>2037</v>
      </c>
      <c r="E42" s="2203"/>
      <c r="F42" s="2203"/>
      <c r="G42" s="2203"/>
      <c r="H42" s="2204"/>
      <c r="I42" s="2123"/>
      <c r="J42" s="2119"/>
      <c r="K42" s="2119"/>
      <c r="L42" s="2119"/>
      <c r="M42" s="2119"/>
      <c r="N42" s="2119"/>
      <c r="O42" s="2120"/>
      <c r="P42" s="2118"/>
      <c r="Q42" s="2119"/>
      <c r="R42" s="2119"/>
      <c r="S42" s="2120"/>
      <c r="T42" s="2123"/>
      <c r="U42" s="2119"/>
      <c r="V42" s="2119"/>
      <c r="W42" s="2120"/>
      <c r="X42" s="2118"/>
      <c r="Y42" s="2119"/>
      <c r="Z42" s="2119"/>
      <c r="AA42" s="212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6"/>
      <c r="B44" s="2207"/>
      <c r="C44" s="2207"/>
      <c r="D44" s="2207"/>
      <c r="E44" s="2207"/>
      <c r="F44" s="2207"/>
      <c r="G44" s="2207"/>
      <c r="H44" s="2208"/>
      <c r="I44" s="2198"/>
      <c r="J44" s="2200"/>
      <c r="K44" s="2200"/>
      <c r="L44" s="2200"/>
      <c r="M44" s="2200"/>
      <c r="N44" s="2200"/>
      <c r="O44" s="2200"/>
      <c r="P44" s="2200"/>
      <c r="Q44" s="2200"/>
      <c r="R44" s="2200"/>
      <c r="S44" s="2201"/>
      <c r="T44" s="2198"/>
      <c r="U44" s="2199"/>
      <c r="V44" s="2199"/>
      <c r="W44" s="2199"/>
      <c r="X44" s="2199"/>
      <c r="Y44" s="2199"/>
      <c r="Z44" s="2200"/>
      <c r="AA44" s="220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5" sqref="E1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60"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1"/>
      <c r="B3" s="1339"/>
      <c r="C3" s="1340"/>
      <c r="D3" s="1341" t="s">
        <v>254</v>
      </c>
      <c r="E3" s="1340"/>
      <c r="F3" s="1341" t="s">
        <v>255</v>
      </c>
    </row>
    <row r="4" spans="1:8" ht="13.7" customHeight="1" x14ac:dyDescent="0.2">
      <c r="A4" s="579" t="s">
        <v>1147</v>
      </c>
      <c r="B4" s="1771">
        <f>'Revenues 9-14'!C5</f>
        <v>2245088</v>
      </c>
      <c r="C4" s="1772">
        <v>56573</v>
      </c>
      <c r="D4" s="1773">
        <f>B4-C4</f>
        <v>2188515</v>
      </c>
      <c r="E4" s="1772">
        <v>2405324</v>
      </c>
      <c r="F4" s="1773">
        <f>E4-C4</f>
        <v>2348751</v>
      </c>
    </row>
    <row r="5" spans="1:8" ht="13.7" customHeight="1" x14ac:dyDescent="0.2">
      <c r="A5" s="579" t="s">
        <v>865</v>
      </c>
      <c r="B5" s="1774">
        <f>'Revenues 9-14'!D5</f>
        <v>405402</v>
      </c>
      <c r="C5" s="1714">
        <v>10250</v>
      </c>
      <c r="D5" s="1775">
        <f t="shared" ref="D5:D18" si="0">B5-C5</f>
        <v>395152</v>
      </c>
      <c r="E5" s="1714">
        <v>460723</v>
      </c>
      <c r="F5" s="1775">
        <f>E5-C5</f>
        <v>450473</v>
      </c>
    </row>
    <row r="6" spans="1:8" ht="13.7" customHeight="1" x14ac:dyDescent="0.2">
      <c r="A6" s="579" t="s">
        <v>408</v>
      </c>
      <c r="B6" s="1774">
        <f>'Revenues 9-14'!E5</f>
        <v>436654</v>
      </c>
      <c r="C6" s="1714">
        <v>10325</v>
      </c>
      <c r="D6" s="1775">
        <f t="shared" si="0"/>
        <v>426329</v>
      </c>
      <c r="E6" s="1714">
        <v>434848</v>
      </c>
      <c r="F6" s="1775">
        <f t="shared" ref="F6:F18" si="1">E6-C6</f>
        <v>424523</v>
      </c>
    </row>
    <row r="7" spans="1:8" ht="13.7" customHeight="1" x14ac:dyDescent="0.2">
      <c r="A7" s="579" t="s">
        <v>154</v>
      </c>
      <c r="B7" s="1774">
        <f>'Revenues 9-14'!F5</f>
        <v>122810</v>
      </c>
      <c r="C7" s="1714">
        <v>2630</v>
      </c>
      <c r="D7" s="1775">
        <f t="shared" si="0"/>
        <v>120180</v>
      </c>
      <c r="E7" s="1714">
        <v>111814</v>
      </c>
      <c r="F7" s="1775">
        <f t="shared" si="1"/>
        <v>109184</v>
      </c>
    </row>
    <row r="8" spans="1:8" ht="13.7" customHeight="1" x14ac:dyDescent="0.2">
      <c r="A8" s="579" t="s">
        <v>1171</v>
      </c>
      <c r="B8" s="1774">
        <f>'Revenues 9-14'!G5</f>
        <v>55962</v>
      </c>
      <c r="C8" s="1714">
        <v>1245</v>
      </c>
      <c r="D8" s="1775">
        <f t="shared" si="0"/>
        <v>54717</v>
      </c>
      <c r="E8" s="1714">
        <v>52930</v>
      </c>
      <c r="F8" s="1775">
        <f t="shared" si="1"/>
        <v>51685</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30772</v>
      </c>
      <c r="C10" s="1714">
        <v>727</v>
      </c>
      <c r="D10" s="1775">
        <f t="shared" si="0"/>
        <v>30045</v>
      </c>
      <c r="E10" s="1714">
        <v>32676</v>
      </c>
      <c r="F10" s="1775">
        <f t="shared" si="1"/>
        <v>31949</v>
      </c>
    </row>
    <row r="11" spans="1:8" x14ac:dyDescent="0.2">
      <c r="A11" s="579" t="s">
        <v>406</v>
      </c>
      <c r="B11" s="1774">
        <f>'Revenues 9-14'!J5</f>
        <v>204550</v>
      </c>
      <c r="C11" s="1714">
        <v>3937</v>
      </c>
      <c r="D11" s="1775">
        <f t="shared" si="0"/>
        <v>200613</v>
      </c>
      <c r="E11" s="1714">
        <v>167389</v>
      </c>
      <c r="F11" s="1775">
        <f t="shared" si="1"/>
        <v>163452</v>
      </c>
    </row>
    <row r="12" spans="1:8" ht="13.7" customHeight="1" x14ac:dyDescent="0.2">
      <c r="A12" s="579" t="s">
        <v>156</v>
      </c>
      <c r="B12" s="1774">
        <f>'Revenues 9-14'!K5</f>
        <v>30772</v>
      </c>
      <c r="C12" s="1714">
        <v>727</v>
      </c>
      <c r="D12" s="1775">
        <f t="shared" si="0"/>
        <v>30045</v>
      </c>
      <c r="E12" s="1714">
        <v>32676</v>
      </c>
      <c r="F12" s="1775">
        <f t="shared" si="1"/>
        <v>31949</v>
      </c>
    </row>
    <row r="13" spans="1:8" ht="13.7" customHeight="1" x14ac:dyDescent="0.2">
      <c r="A13" s="579" t="s">
        <v>930</v>
      </c>
      <c r="B13" s="1774">
        <f>SUM('Revenues 9-14'!C6:D6)</f>
        <v>30772</v>
      </c>
      <c r="C13" s="1714">
        <v>727</v>
      </c>
      <c r="D13" s="1775">
        <f t="shared" si="0"/>
        <v>30045</v>
      </c>
      <c r="E13" s="1714">
        <v>32676</v>
      </c>
      <c r="F13" s="1775">
        <f t="shared" si="1"/>
        <v>31949</v>
      </c>
    </row>
    <row r="14" spans="1:8" ht="13.7" customHeight="1" x14ac:dyDescent="0.2">
      <c r="A14" s="579" t="s">
        <v>407</v>
      </c>
      <c r="B14" s="1774">
        <f>SUM('Revenues 9-14'!C7:D7,'Revenues 9-14'!F7:H7)</f>
        <v>24618</v>
      </c>
      <c r="C14" s="1714">
        <v>582</v>
      </c>
      <c r="D14" s="1775">
        <f t="shared" si="0"/>
        <v>24036</v>
      </c>
      <c r="E14" s="1714">
        <v>26140</v>
      </c>
      <c r="F14" s="1775">
        <f t="shared" si="1"/>
        <v>25558</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74355</v>
      </c>
      <c r="C16" s="1714">
        <v>1400</v>
      </c>
      <c r="D16" s="1775">
        <f t="shared" si="0"/>
        <v>72955</v>
      </c>
      <c r="E16" s="1714">
        <v>59544</v>
      </c>
      <c r="F16" s="1775">
        <f t="shared" si="1"/>
        <v>58144</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3661755</v>
      </c>
      <c r="C19" s="1776">
        <f>SUM(C4:C18)</f>
        <v>89123</v>
      </c>
      <c r="D19" s="1776">
        <f>SUM(D4:D18)</f>
        <v>3572632</v>
      </c>
      <c r="E19" s="1776">
        <f>SUM(E4:E18)</f>
        <v>3816740</v>
      </c>
      <c r="F19" s="1776">
        <f>SUM(F4:F18)</f>
        <v>3727617</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2" colorId="8" zoomScale="110" zoomScaleNormal="110" workbookViewId="0">
      <selection activeCell="D34" sqref="D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6" t="s">
        <v>625</v>
      </c>
      <c r="B1" s="2367"/>
      <c r="C1" s="585"/>
    </row>
    <row r="2" spans="1:7" ht="33.75" x14ac:dyDescent="0.2">
      <c r="A2" s="2375" t="s">
        <v>1782</v>
      </c>
      <c r="B2" s="2376"/>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79" t="s">
        <v>1106</v>
      </c>
      <c r="B3" s="2380"/>
      <c r="C3" s="2368"/>
      <c r="D3" s="2369"/>
      <c r="E3" s="2369"/>
      <c r="F3" s="2370"/>
    </row>
    <row r="4" spans="1:7" ht="12.75" customHeight="1" thickBot="1" x14ac:dyDescent="0.25">
      <c r="A4" s="2377" t="s">
        <v>626</v>
      </c>
      <c r="B4" s="2378"/>
      <c r="C4" s="1706"/>
      <c r="D4" s="1706"/>
      <c r="E4" s="1706"/>
      <c r="F4" s="1782">
        <f>SUM(C4+D4)-E4</f>
        <v>0</v>
      </c>
    </row>
    <row r="5" spans="1:7" ht="15.75" customHeight="1" thickTop="1" x14ac:dyDescent="0.2">
      <c r="A5" s="2362" t="s">
        <v>1103</v>
      </c>
      <c r="B5" s="2363"/>
      <c r="C5" s="2371"/>
      <c r="D5" s="2372"/>
      <c r="E5" s="2372"/>
      <c r="F5" s="2373"/>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64" t="s">
        <v>627</v>
      </c>
      <c r="B15" s="2365"/>
      <c r="C15" s="1782">
        <f>SUM(C6:C14)</f>
        <v>0</v>
      </c>
      <c r="D15" s="1782">
        <f>SUM(D6:D14)</f>
        <v>0</v>
      </c>
      <c r="E15" s="1782">
        <f>SUM(E6:E14)</f>
        <v>0</v>
      </c>
      <c r="F15" s="1782">
        <f>SUM(F6:F14)</f>
        <v>0</v>
      </c>
      <c r="G15" s="473"/>
    </row>
    <row r="16" spans="1:7" s="197" customFormat="1" ht="15.75" customHeight="1" thickTop="1" x14ac:dyDescent="0.2">
      <c r="A16" s="2374" t="s">
        <v>1104</v>
      </c>
      <c r="B16" s="2363"/>
      <c r="C16" s="2371"/>
      <c r="D16" s="2372"/>
      <c r="E16" s="2372"/>
      <c r="F16" s="2373"/>
    </row>
    <row r="17" spans="1:11" ht="12.75" customHeight="1" thickBot="1" x14ac:dyDescent="0.25">
      <c r="A17" s="2387" t="s">
        <v>64</v>
      </c>
      <c r="B17" s="2388"/>
      <c r="C17" s="1783"/>
      <c r="D17" s="1714"/>
      <c r="E17" s="1783"/>
      <c r="F17" s="1782">
        <f>SUM(C17+D17)-E17</f>
        <v>0</v>
      </c>
    </row>
    <row r="18" spans="1:11" ht="12.75" customHeight="1" thickTop="1" thickBot="1" x14ac:dyDescent="0.25">
      <c r="A18" s="2387" t="s">
        <v>6</v>
      </c>
      <c r="B18" s="2388"/>
      <c r="C18" s="1783"/>
      <c r="D18" s="1714"/>
      <c r="E18" s="1783"/>
      <c r="F18" s="1782">
        <f>SUM(C18+D18)-E18</f>
        <v>0</v>
      </c>
    </row>
    <row r="19" spans="1:11" ht="12.75" customHeight="1" thickTop="1" thickBot="1" x14ac:dyDescent="0.25">
      <c r="A19" s="2387" t="s">
        <v>385</v>
      </c>
      <c r="B19" s="2388"/>
      <c r="C19" s="1783"/>
      <c r="D19" s="1714"/>
      <c r="E19" s="1783"/>
      <c r="F19" s="1782">
        <f>SUM(C19+D19)-E19</f>
        <v>0</v>
      </c>
    </row>
    <row r="20" spans="1:11" ht="12.75" customHeight="1" thickTop="1" thickBot="1" x14ac:dyDescent="0.25">
      <c r="A20" s="2387" t="s">
        <v>445</v>
      </c>
      <c r="B20" s="2388"/>
      <c r="C20" s="1783"/>
      <c r="D20" s="1714"/>
      <c r="E20" s="1783"/>
      <c r="F20" s="1782">
        <f>SUM(C20+D20)-E20</f>
        <v>0</v>
      </c>
    </row>
    <row r="21" spans="1:11" ht="14.25" thickTop="1" thickBot="1" x14ac:dyDescent="0.25">
      <c r="A21" s="2364" t="s">
        <v>628</v>
      </c>
      <c r="B21" s="2365"/>
      <c r="C21" s="1782">
        <f>SUM(C17:C20)</f>
        <v>0</v>
      </c>
      <c r="D21" s="1782">
        <f>SUM(D17:D20)</f>
        <v>0</v>
      </c>
      <c r="E21" s="1782">
        <f>SUM(E17:E20)</f>
        <v>0</v>
      </c>
      <c r="F21" s="1782">
        <f>SUM(F17:F20)</f>
        <v>0</v>
      </c>
      <c r="G21" s="473"/>
    </row>
    <row r="22" spans="1:11" ht="15.75" customHeight="1" thickTop="1" x14ac:dyDescent="0.2">
      <c r="A22" s="2389" t="s">
        <v>1105</v>
      </c>
      <c r="B22" s="2363"/>
      <c r="C22" s="2371"/>
      <c r="D22" s="2372"/>
      <c r="E22" s="2372"/>
      <c r="F22" s="2373"/>
    </row>
    <row r="23" spans="1:11" ht="13.5" thickBot="1" x14ac:dyDescent="0.25">
      <c r="A23" s="2377" t="s">
        <v>629</v>
      </c>
      <c r="B23" s="2378"/>
      <c r="C23" s="1706"/>
      <c r="D23" s="1706"/>
      <c r="E23" s="1706"/>
      <c r="F23" s="1782">
        <f>SUM(C23+D23)-E23</f>
        <v>0</v>
      </c>
      <c r="G23" s="473"/>
    </row>
    <row r="24" spans="1:11" ht="15.75" customHeight="1" thickTop="1" x14ac:dyDescent="0.2">
      <c r="A24" s="2389" t="s">
        <v>2009</v>
      </c>
      <c r="B24" s="2363"/>
      <c r="C24" s="2371"/>
      <c r="D24" s="2372"/>
      <c r="E24" s="2372"/>
      <c r="F24" s="2373"/>
    </row>
    <row r="25" spans="1:11" ht="13.5" thickBot="1" x14ac:dyDescent="0.25">
      <c r="A25" s="2377" t="s">
        <v>2010</v>
      </c>
      <c r="B25" s="2378"/>
      <c r="C25" s="1706"/>
      <c r="D25" s="1706"/>
      <c r="E25" s="1706"/>
      <c r="F25" s="1782">
        <f>SUM(C25+D25)-E25</f>
        <v>0</v>
      </c>
      <c r="G25" s="473"/>
    </row>
    <row r="26" spans="1:11" ht="15.75" customHeight="1" thickTop="1" x14ac:dyDescent="0.2">
      <c r="A26" s="2362" t="s">
        <v>652</v>
      </c>
      <c r="B26" s="2363"/>
      <c r="C26" s="589"/>
      <c r="D26" s="589"/>
      <c r="E26" s="589"/>
      <c r="F26" s="590"/>
    </row>
    <row r="27" spans="1:11" ht="13.5" thickBot="1" x14ac:dyDescent="0.25">
      <c r="A27" s="2364" t="s">
        <v>1063</v>
      </c>
      <c r="B27" s="2365"/>
      <c r="C27" s="1714"/>
      <c r="D27" s="1714"/>
      <c r="E27" s="1714"/>
      <c r="F27" s="1782">
        <f>SUM(C27+D27)-E27</f>
        <v>0</v>
      </c>
      <c r="G27" s="473"/>
    </row>
    <row r="28" spans="1:11" ht="7.5" customHeight="1" thickTop="1" x14ac:dyDescent="0.2">
      <c r="A28" s="489"/>
    </row>
    <row r="29" spans="1:11" ht="23.25" customHeight="1" x14ac:dyDescent="0.2">
      <c r="A29" s="2390" t="s">
        <v>578</v>
      </c>
      <c r="B29" s="2367"/>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2039</v>
      </c>
      <c r="B31" s="595">
        <v>42355</v>
      </c>
      <c r="C31" s="1784">
        <v>1630000</v>
      </c>
      <c r="D31" s="1785">
        <v>3</v>
      </c>
      <c r="E31" s="1784">
        <v>1325000</v>
      </c>
      <c r="F31" s="1784"/>
      <c r="G31" s="1784"/>
      <c r="H31" s="1784">
        <v>155000</v>
      </c>
      <c r="I31" s="1786">
        <f>((E31+F31)-H31)+G31</f>
        <v>1170000</v>
      </c>
      <c r="J31" s="1784">
        <v>1170000</v>
      </c>
      <c r="K31" s="596"/>
    </row>
    <row r="32" spans="1:11" ht="12" customHeight="1" x14ac:dyDescent="0.2">
      <c r="A32" s="594" t="s">
        <v>2040</v>
      </c>
      <c r="B32" s="595">
        <v>42670</v>
      </c>
      <c r="C32" s="1784">
        <v>1775000</v>
      </c>
      <c r="D32" s="1785">
        <v>3</v>
      </c>
      <c r="E32" s="1784">
        <v>1420000</v>
      </c>
      <c r="F32" s="1784"/>
      <c r="G32" s="1784"/>
      <c r="H32" s="1784">
        <v>165000</v>
      </c>
      <c r="I32" s="1786">
        <f>((E32+F32)-H32)+G32</f>
        <v>1255000</v>
      </c>
      <c r="J32" s="1784">
        <v>1255000</v>
      </c>
      <c r="K32" s="596"/>
    </row>
    <row r="33" spans="1:11" ht="12" customHeight="1" x14ac:dyDescent="0.2">
      <c r="A33" s="594" t="s">
        <v>2041</v>
      </c>
      <c r="B33" s="595">
        <v>42915</v>
      </c>
      <c r="C33" s="1784">
        <v>495000</v>
      </c>
      <c r="D33" s="1785">
        <v>3</v>
      </c>
      <c r="E33" s="1784">
        <v>455000</v>
      </c>
      <c r="F33" s="1784"/>
      <c r="G33" s="1784"/>
      <c r="H33" s="1784">
        <v>45000</v>
      </c>
      <c r="I33" s="1786">
        <f t="shared" ref="I33:I48" si="1">((E33+F33)-H33)+G33</f>
        <v>410000</v>
      </c>
      <c r="J33" s="1784">
        <v>399671</v>
      </c>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3900000</v>
      </c>
      <c r="D49" s="1792"/>
      <c r="E49" s="1786">
        <f t="shared" ref="E49:J49" si="2">SUM(E31:E48)</f>
        <v>3200000</v>
      </c>
      <c r="F49" s="1786">
        <f t="shared" si="2"/>
        <v>0</v>
      </c>
      <c r="G49" s="1786">
        <f t="shared" si="2"/>
        <v>0</v>
      </c>
      <c r="H49" s="1786">
        <f t="shared" si="2"/>
        <v>365000</v>
      </c>
      <c r="I49" s="1786">
        <f t="shared" si="2"/>
        <v>2835000</v>
      </c>
      <c r="J49" s="1786">
        <f t="shared" si="2"/>
        <v>2824671</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81" t="s">
        <v>580</v>
      </c>
      <c r="C52" s="2382"/>
      <c r="D52" s="2382"/>
      <c r="E52" s="603" t="s">
        <v>840</v>
      </c>
      <c r="F52" s="2383"/>
      <c r="G52" s="2384"/>
      <c r="H52" s="596"/>
      <c r="I52" s="596"/>
      <c r="J52" s="600"/>
    </row>
    <row r="53" spans="1:11" ht="11.25" customHeight="1" x14ac:dyDescent="0.2">
      <c r="A53" s="604" t="s">
        <v>907</v>
      </c>
      <c r="B53" s="605" t="s">
        <v>945</v>
      </c>
      <c r="C53" s="600"/>
      <c r="D53" s="597"/>
      <c r="E53" s="603" t="s">
        <v>494</v>
      </c>
      <c r="F53" s="2385"/>
      <c r="G53" s="2386"/>
      <c r="H53" s="596"/>
      <c r="I53" s="596"/>
      <c r="J53" s="600"/>
    </row>
    <row r="54" spans="1:11" ht="11.25" customHeight="1" x14ac:dyDescent="0.2">
      <c r="A54" s="606" t="s">
        <v>908</v>
      </c>
      <c r="B54" s="601" t="s">
        <v>946</v>
      </c>
      <c r="C54" s="600"/>
      <c r="D54" s="597"/>
      <c r="E54" s="603" t="s">
        <v>495</v>
      </c>
      <c r="F54" s="2385"/>
      <c r="G54" s="238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7" t="s">
        <v>851</v>
      </c>
      <c r="B1" s="2418"/>
      <c r="C1" s="2418"/>
      <c r="D1" s="2418"/>
      <c r="E1" s="2418"/>
      <c r="F1" s="2418"/>
      <c r="G1" s="2419"/>
      <c r="H1" s="1343"/>
      <c r="I1" s="614"/>
      <c r="J1" s="400"/>
    </row>
    <row r="2" spans="1:11" ht="26.25" x14ac:dyDescent="0.2">
      <c r="A2" s="2394" t="s">
        <v>1661</v>
      </c>
      <c r="B2" s="2395"/>
      <c r="C2" s="2395"/>
      <c r="D2" s="2395"/>
      <c r="E2" s="2396"/>
      <c r="F2" s="615" t="s">
        <v>898</v>
      </c>
      <c r="G2" s="616" t="s">
        <v>1658</v>
      </c>
      <c r="H2" s="616" t="s">
        <v>407</v>
      </c>
      <c r="I2" s="616" t="s">
        <v>1150</v>
      </c>
      <c r="J2" s="616" t="s">
        <v>1792</v>
      </c>
      <c r="K2" s="616" t="s">
        <v>137</v>
      </c>
    </row>
    <row r="3" spans="1:11" x14ac:dyDescent="0.2">
      <c r="A3" s="2397" t="str">
        <f>"Cash Basis Fund Balance as of July 1, "&amp;'AFR20'!E2-1</f>
        <v>Cash Basis Fund Balance as of July 1, 2019</v>
      </c>
      <c r="B3" s="2398"/>
      <c r="C3" s="2398"/>
      <c r="D3" s="2398"/>
      <c r="E3" s="2399"/>
      <c r="F3" s="617"/>
      <c r="G3" s="1794"/>
      <c r="H3" s="1794"/>
      <c r="I3" s="1794"/>
      <c r="J3" s="1795"/>
      <c r="K3" s="1795"/>
    </row>
    <row r="4" spans="1:11" x14ac:dyDescent="0.2">
      <c r="A4" s="2400" t="s">
        <v>366</v>
      </c>
      <c r="B4" s="2401"/>
      <c r="C4" s="2401"/>
      <c r="D4" s="2401"/>
      <c r="E4" s="2382"/>
      <c r="F4" s="620"/>
      <c r="G4" s="1796"/>
      <c r="H4" s="1797"/>
      <c r="I4" s="1796"/>
      <c r="J4" s="1798"/>
      <c r="K4" s="1798"/>
    </row>
    <row r="5" spans="1:11" x14ac:dyDescent="0.2">
      <c r="A5" s="2420" t="s">
        <v>1062</v>
      </c>
      <c r="B5" s="2391"/>
      <c r="C5" s="2391"/>
      <c r="D5" s="2391"/>
      <c r="E5" s="2421"/>
      <c r="F5" s="622" t="s">
        <v>843</v>
      </c>
      <c r="G5" s="1799"/>
      <c r="H5" s="1794">
        <v>24618</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v>2770</v>
      </c>
    </row>
    <row r="10" spans="1:11" x14ac:dyDescent="0.2">
      <c r="A10" s="2420" t="s">
        <v>1793</v>
      </c>
      <c r="B10" s="2391"/>
      <c r="C10" s="2391"/>
      <c r="D10" s="2391"/>
      <c r="E10" s="2422"/>
      <c r="F10" s="633" t="s">
        <v>857</v>
      </c>
      <c r="G10" s="1803"/>
      <c r="H10" s="1804"/>
      <c r="I10" s="1794"/>
      <c r="J10" s="1795"/>
      <c r="K10" s="1795"/>
    </row>
    <row r="11" spans="1:11" x14ac:dyDescent="0.2">
      <c r="A11" s="2420" t="s">
        <v>159</v>
      </c>
      <c r="B11" s="2391"/>
      <c r="C11" s="2391"/>
      <c r="D11" s="2391"/>
      <c r="E11" s="2421"/>
      <c r="F11" s="622" t="s">
        <v>847</v>
      </c>
      <c r="G11" s="1799"/>
      <c r="H11" s="1794"/>
      <c r="I11" s="1794"/>
      <c r="J11" s="1795"/>
      <c r="K11" s="1801"/>
    </row>
    <row r="12" spans="1:11" ht="13.5" thickBot="1" x14ac:dyDescent="0.25">
      <c r="A12" s="2408" t="s">
        <v>899</v>
      </c>
      <c r="B12" s="2409"/>
      <c r="C12" s="2409"/>
      <c r="D12" s="2409"/>
      <c r="E12" s="2410"/>
      <c r="F12" s="1482"/>
      <c r="G12" s="1805">
        <f>SUM(G5:G11)</f>
        <v>0</v>
      </c>
      <c r="H12" s="1805">
        <f>SUM(H5:H11)</f>
        <v>24618</v>
      </c>
      <c r="I12" s="1805">
        <f>SUM(I5:I11)</f>
        <v>0</v>
      </c>
      <c r="J12" s="1805">
        <f>SUM(J5:J11)</f>
        <v>0</v>
      </c>
      <c r="K12" s="1805">
        <f>SUM(K5:K11)</f>
        <v>2770</v>
      </c>
    </row>
    <row r="13" spans="1:11" ht="13.5" thickTop="1" x14ac:dyDescent="0.2">
      <c r="A13" s="2402" t="s">
        <v>367</v>
      </c>
      <c r="B13" s="2403"/>
      <c r="C13" s="2403"/>
      <c r="D13" s="2403"/>
      <c r="E13" s="2404"/>
      <c r="F13" s="634"/>
      <c r="G13" s="1806"/>
      <c r="H13" s="1807"/>
      <c r="I13" s="1808"/>
      <c r="J13" s="1808"/>
      <c r="K13" s="1808"/>
    </row>
    <row r="14" spans="1:11" x14ac:dyDescent="0.2">
      <c r="A14" s="2426" t="s">
        <v>453</v>
      </c>
      <c r="B14" s="2426"/>
      <c r="C14" s="2426"/>
      <c r="D14" s="2426"/>
      <c r="E14" s="2427"/>
      <c r="F14" s="635" t="s">
        <v>849</v>
      </c>
      <c r="G14" s="1803"/>
      <c r="H14" s="1794">
        <v>24618</v>
      </c>
      <c r="I14" s="1799"/>
      <c r="J14" s="1801"/>
      <c r="K14" s="1795">
        <v>2770</v>
      </c>
    </row>
    <row r="15" spans="1:11" x14ac:dyDescent="0.2">
      <c r="A15" s="2391" t="s">
        <v>4</v>
      </c>
      <c r="B15" s="2391"/>
      <c r="C15" s="2391"/>
      <c r="D15" s="2391"/>
      <c r="E15" s="2421"/>
      <c r="F15" s="635" t="s">
        <v>850</v>
      </c>
      <c r="G15" s="1799"/>
      <c r="H15" s="1794"/>
      <c r="I15" s="1794"/>
      <c r="J15" s="1795"/>
      <c r="K15" s="1795"/>
    </row>
    <row r="16" spans="1:11" x14ac:dyDescent="0.2">
      <c r="A16" s="2391" t="s">
        <v>295</v>
      </c>
      <c r="B16" s="2391"/>
      <c r="C16" s="2391"/>
      <c r="D16" s="2391"/>
      <c r="E16" s="2421"/>
      <c r="F16" s="635" t="s">
        <v>917</v>
      </c>
      <c r="G16" s="1800"/>
      <c r="H16" s="1796"/>
      <c r="I16" s="1796"/>
      <c r="J16" s="1798"/>
      <c r="K16" s="1798"/>
    </row>
    <row r="17" spans="1:15" x14ac:dyDescent="0.2">
      <c r="A17" s="2415" t="s">
        <v>929</v>
      </c>
      <c r="B17" s="2415"/>
      <c r="C17" s="2415"/>
      <c r="D17" s="2415"/>
      <c r="E17" s="2416"/>
      <c r="F17" s="636"/>
      <c r="G17" s="1809"/>
      <c r="H17" s="1810"/>
      <c r="I17" s="1810"/>
      <c r="J17" s="1811"/>
      <c r="K17" s="1812"/>
    </row>
    <row r="18" spans="1:15" x14ac:dyDescent="0.2">
      <c r="A18" s="2405" t="s">
        <v>365</v>
      </c>
      <c r="B18" s="2406"/>
      <c r="C18" s="2406"/>
      <c r="D18" s="2406"/>
      <c r="E18" s="2407"/>
      <c r="F18" s="635" t="s">
        <v>926</v>
      </c>
      <c r="G18" s="1803"/>
      <c r="H18" s="1803"/>
      <c r="I18" s="1803"/>
      <c r="J18" s="1795"/>
      <c r="K18" s="1813"/>
    </row>
    <row r="19" spans="1:15" ht="21.75" customHeight="1" x14ac:dyDescent="0.2">
      <c r="A19" s="2428" t="s">
        <v>1789</v>
      </c>
      <c r="B19" s="2428"/>
      <c r="C19" s="2428"/>
      <c r="D19" s="2428"/>
      <c r="E19" s="2429"/>
      <c r="F19" s="635" t="s">
        <v>927</v>
      </c>
      <c r="G19" s="1803"/>
      <c r="H19" s="1803"/>
      <c r="I19" s="1803"/>
      <c r="J19" s="1795"/>
      <c r="K19" s="1813"/>
    </row>
    <row r="20" spans="1:15" x14ac:dyDescent="0.2">
      <c r="A20" s="2405" t="s">
        <v>1794</v>
      </c>
      <c r="B20" s="2406"/>
      <c r="C20" s="2406"/>
      <c r="D20" s="2406"/>
      <c r="E20" s="2407"/>
      <c r="F20" s="635" t="s">
        <v>928</v>
      </c>
      <c r="G20" s="1803"/>
      <c r="H20" s="1803"/>
      <c r="I20" s="1803"/>
      <c r="J20" s="1795"/>
      <c r="K20" s="1813"/>
    </row>
    <row r="21" spans="1:15" ht="13.5" thickBot="1" x14ac:dyDescent="0.25">
      <c r="A21" s="2411" t="s">
        <v>633</v>
      </c>
      <c r="B21" s="2411"/>
      <c r="C21" s="2411"/>
      <c r="D21" s="2411"/>
      <c r="E21" s="2411"/>
      <c r="F21" s="1483"/>
      <c r="G21" s="1810"/>
      <c r="H21" s="1814"/>
      <c r="I21" s="1814"/>
      <c r="J21" s="1815">
        <f>SUM(J18:J20)</f>
        <v>0</v>
      </c>
      <c r="K21" s="1811"/>
    </row>
    <row r="22" spans="1:15" ht="13.5" thickTop="1" x14ac:dyDescent="0.2">
      <c r="A22" s="2391" t="s">
        <v>1795</v>
      </c>
      <c r="B22" s="2391"/>
      <c r="C22" s="2391"/>
      <c r="D22" s="2391"/>
      <c r="E22" s="2421"/>
      <c r="F22" s="635" t="s">
        <v>857</v>
      </c>
      <c r="G22" s="1803"/>
      <c r="H22" s="1794"/>
      <c r="I22" s="1794"/>
      <c r="J22" s="1816"/>
      <c r="K22" s="1795"/>
    </row>
    <row r="23" spans="1:15" ht="13.5" thickBot="1" x14ac:dyDescent="0.25">
      <c r="A23" s="2412" t="s">
        <v>900</v>
      </c>
      <c r="B23" s="2411"/>
      <c r="C23" s="2411"/>
      <c r="D23" s="2411"/>
      <c r="E23" s="2411"/>
      <c r="F23" s="1485"/>
      <c r="G23" s="1805">
        <f>SUM(G14:G16,G21,G22)</f>
        <v>0</v>
      </c>
      <c r="H23" s="1805">
        <f>SUM(H14:H16,H21,H22)</f>
        <v>24618</v>
      </c>
      <c r="I23" s="1805">
        <f>SUM(I14:I16,I21,I22)</f>
        <v>0</v>
      </c>
      <c r="J23" s="1805">
        <f>SUM(J14:J16,J21,J22)</f>
        <v>0</v>
      </c>
      <c r="K23" s="1805">
        <f>SUM(K14:K16,K21,K22)</f>
        <v>2770</v>
      </c>
      <c r="M23" s="1904"/>
      <c r="N23" s="1904"/>
      <c r="O23" s="1904"/>
    </row>
    <row r="24" spans="1:15" ht="14.25" thickTop="1" thickBot="1" x14ac:dyDescent="0.25">
      <c r="A24" s="2413" t="str">
        <f>"Ending Cash Basis Fund Balance as of June 30, "&amp;'AFR20'!E2</f>
        <v>Ending Cash Basis Fund Balance as of June 30, 2020</v>
      </c>
      <c r="B24" s="2414"/>
      <c r="C24" s="2414"/>
      <c r="D24" s="2414"/>
      <c r="E24" s="2414"/>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3"/>
      <c r="I31" s="2424"/>
      <c r="J31" s="2424"/>
      <c r="K31" s="2424"/>
    </row>
    <row r="32" spans="1:15" x14ac:dyDescent="0.2">
      <c r="A32" s="649"/>
      <c r="B32" s="232"/>
      <c r="C32" s="232"/>
      <c r="D32" s="232"/>
      <c r="E32" s="645"/>
      <c r="F32" s="651" t="s">
        <v>537</v>
      </c>
      <c r="G32" s="618"/>
      <c r="H32" s="2425"/>
      <c r="I32" s="2424"/>
      <c r="J32" s="2424"/>
      <c r="K32" s="2424"/>
    </row>
    <row r="33" spans="1:11" ht="1.5" customHeight="1" x14ac:dyDescent="0.2">
      <c r="A33" s="652" t="s">
        <v>1161</v>
      </c>
      <c r="B33" s="341"/>
      <c r="C33" s="341"/>
      <c r="D33" s="341"/>
      <c r="E33" s="341"/>
      <c r="F33" s="341"/>
      <c r="G33" s="653"/>
      <c r="H33" s="2425"/>
      <c r="I33" s="2424"/>
      <c r="J33" s="2424"/>
      <c r="K33" s="2424"/>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1" t="s">
        <v>538</v>
      </c>
      <c r="B41" s="2392"/>
      <c r="C41" s="2392"/>
      <c r="D41" s="2392"/>
      <c r="E41" s="2392"/>
      <c r="F41" s="239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N21" sqref="N2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2" t="s">
        <v>1878</v>
      </c>
      <c r="B1" s="2433"/>
      <c r="C1" s="2434"/>
      <c r="D1" s="666"/>
      <c r="E1" s="667"/>
      <c r="F1" s="667"/>
      <c r="G1" s="668"/>
      <c r="H1" s="669"/>
      <c r="I1" s="670"/>
      <c r="J1" s="2430"/>
      <c r="K1" s="2431"/>
      <c r="L1" s="2431"/>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160300</v>
      </c>
      <c r="D5" s="1820"/>
      <c r="E5" s="1820"/>
      <c r="F5" s="1815">
        <f>(C5+D5)-E5</f>
        <v>160300</v>
      </c>
      <c r="G5" s="676"/>
      <c r="H5" s="680"/>
      <c r="I5" s="680"/>
      <c r="J5" s="680"/>
      <c r="K5" s="637"/>
      <c r="L5" s="1491">
        <f>F5-K5</f>
        <v>160300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8234156</v>
      </c>
      <c r="D8" s="1821">
        <v>61051</v>
      </c>
      <c r="E8" s="1821"/>
      <c r="F8" s="1815">
        <f>(C8+D8)-E8</f>
        <v>8295207</v>
      </c>
      <c r="G8" s="681">
        <v>50</v>
      </c>
      <c r="H8" s="619">
        <v>3844253</v>
      </c>
      <c r="I8" s="619">
        <v>204360</v>
      </c>
      <c r="J8" s="619"/>
      <c r="K8" s="1491">
        <f>(H8+I8)-J8</f>
        <v>4048613</v>
      </c>
      <c r="L8" s="1491">
        <f>F8-K8</f>
        <v>4246594</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76673</v>
      </c>
      <c r="D10" s="1822"/>
      <c r="E10" s="1822"/>
      <c r="F10" s="1823">
        <f>(C10+D10)-E10</f>
        <v>76673</v>
      </c>
      <c r="G10" s="681">
        <v>20</v>
      </c>
      <c r="H10" s="683">
        <v>72027</v>
      </c>
      <c r="I10" s="683">
        <v>3379</v>
      </c>
      <c r="J10" s="683"/>
      <c r="K10" s="1491">
        <f>(H10+I10)-J10</f>
        <v>75406</v>
      </c>
      <c r="L10" s="1491">
        <f>F10-K10</f>
        <v>1267</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1196898</v>
      </c>
      <c r="D12" s="1821">
        <v>30886</v>
      </c>
      <c r="E12" s="1821"/>
      <c r="F12" s="1815">
        <f>(C12+D12)-E12</f>
        <v>1227784</v>
      </c>
      <c r="G12" s="681">
        <v>10</v>
      </c>
      <c r="H12" s="619">
        <v>1074978</v>
      </c>
      <c r="I12" s="619">
        <v>32179</v>
      </c>
      <c r="J12" s="619"/>
      <c r="K12" s="1491">
        <f>(H12+I12)-J12</f>
        <v>1107157</v>
      </c>
      <c r="L12" s="1491">
        <f>F12-K12</f>
        <v>120627</v>
      </c>
    </row>
    <row r="13" spans="1:14" ht="14.25" thickTop="1" thickBot="1" x14ac:dyDescent="0.25">
      <c r="A13" s="684" t="s">
        <v>1114</v>
      </c>
      <c r="B13" s="679">
        <v>252</v>
      </c>
      <c r="C13" s="1821">
        <v>465838</v>
      </c>
      <c r="D13" s="1821"/>
      <c r="E13" s="1821"/>
      <c r="F13" s="1815">
        <f>(C13+D13)-E13</f>
        <v>465838</v>
      </c>
      <c r="G13" s="681">
        <v>5</v>
      </c>
      <c r="H13" s="619">
        <v>331152</v>
      </c>
      <c r="I13" s="619">
        <v>35380</v>
      </c>
      <c r="J13" s="619"/>
      <c r="K13" s="1491">
        <f>(H13+I13)-J13</f>
        <v>366532</v>
      </c>
      <c r="L13" s="1491">
        <f>F13-K13</f>
        <v>99306</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10133865</v>
      </c>
      <c r="D16" s="1815">
        <f>SUM(D3,D5:D6,D8:D10,D12:D15)</f>
        <v>91937</v>
      </c>
      <c r="E16" s="1815">
        <f>SUM(E3,E5:E6,E8:E10,E12:E15)</f>
        <v>0</v>
      </c>
      <c r="F16" s="1815">
        <f>SUM(F3,F5:F6,F8:F10,F12:F15)</f>
        <v>10225802</v>
      </c>
      <c r="G16" s="681"/>
      <c r="H16" s="1484">
        <f>SUM(H3,H6,H8:H10,H12:H14,)</f>
        <v>5322410</v>
      </c>
      <c r="I16" s="1484">
        <f>SUM(I3,I6,I8:I10,I12:I14,)</f>
        <v>275298</v>
      </c>
      <c r="J16" s="1484">
        <f>SUM(J3,J6,J8:J10,J12:J14,)</f>
        <v>0</v>
      </c>
      <c r="K16" s="1484">
        <f>(H16+I16)-J16</f>
        <v>5597708</v>
      </c>
      <c r="L16" s="1484">
        <f>F16-K16</f>
        <v>4628094</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275298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24"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8" t="str">
        <f>"ESTIMATED OPERATING EXPENSE PER PUPIL (OEPP)/PER CAPITA TUITION CHARGE (PCTC) COMPUTATIONS ("&amp;'AFR20'!E2-1&amp;" - "&amp;'AFR20'!E2&amp;")"</f>
        <v>ESTIMATED OPERATING EXPENSE PER PUPIL (OEPP)/PER CAPITA TUITION CHARGE (PCTC) COMPUTATIONS (2019 - 2020)</v>
      </c>
      <c r="B1" s="2439"/>
      <c r="C1" s="2439"/>
      <c r="D1" s="2439"/>
      <c r="E1" s="2439"/>
      <c r="F1" s="2440"/>
      <c r="G1" s="691"/>
      <c r="I1" s="701"/>
    </row>
    <row r="2" spans="1:9" ht="15" customHeight="1" thickBot="1" x14ac:dyDescent="0.25">
      <c r="A2" s="2441" t="s">
        <v>474</v>
      </c>
      <c r="B2" s="2442"/>
      <c r="C2" s="2442"/>
      <c r="D2" s="2442"/>
      <c r="E2" s="2442"/>
      <c r="F2" s="244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4"/>
      <c r="B5" s="2445"/>
      <c r="C5" s="2445"/>
      <c r="D5" s="2445"/>
      <c r="E5" s="2445"/>
      <c r="F5" s="2445"/>
    </row>
    <row r="6" spans="1:9" ht="13.5" customHeight="1" thickBot="1" x14ac:dyDescent="0.25">
      <c r="A6" s="2435" t="s">
        <v>1097</v>
      </c>
      <c r="B6" s="2436"/>
      <c r="C6" s="2436"/>
      <c r="D6" s="2436"/>
      <c r="E6" s="2436"/>
      <c r="F6" s="243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4193833</v>
      </c>
      <c r="G8" s="701"/>
    </row>
    <row r="9" spans="1:9" x14ac:dyDescent="0.2">
      <c r="A9" s="705" t="s">
        <v>457</v>
      </c>
      <c r="B9" s="706" t="s">
        <v>1851</v>
      </c>
      <c r="C9" s="707"/>
      <c r="D9" s="705" t="s">
        <v>498</v>
      </c>
      <c r="E9" s="704"/>
      <c r="F9" s="1825">
        <f>'Expenditures 15-22'!K151</f>
        <v>439874</v>
      </c>
      <c r="G9" s="708"/>
    </row>
    <row r="10" spans="1:9" x14ac:dyDescent="0.2">
      <c r="A10" s="705" t="s">
        <v>496</v>
      </c>
      <c r="B10" s="706" t="s">
        <v>1852</v>
      </c>
      <c r="C10" s="707"/>
      <c r="D10" s="705" t="s">
        <v>498</v>
      </c>
      <c r="E10" s="704"/>
      <c r="F10" s="1825">
        <f>'Expenditures 15-22'!K174</f>
        <v>441050</v>
      </c>
      <c r="G10" s="708"/>
    </row>
    <row r="11" spans="1:9" x14ac:dyDescent="0.2">
      <c r="A11" s="705" t="s">
        <v>458</v>
      </c>
      <c r="B11" s="706" t="s">
        <v>1853</v>
      </c>
      <c r="C11" s="707"/>
      <c r="D11" s="705" t="s">
        <v>498</v>
      </c>
      <c r="E11" s="704"/>
      <c r="F11" s="1825">
        <f>'Expenditures 15-22'!K210</f>
        <v>161657</v>
      </c>
      <c r="G11" s="708"/>
    </row>
    <row r="12" spans="1:9" x14ac:dyDescent="0.2">
      <c r="A12" s="705" t="s">
        <v>459</v>
      </c>
      <c r="B12" s="706" t="s">
        <v>1854</v>
      </c>
      <c r="C12" s="707"/>
      <c r="D12" s="705" t="s">
        <v>498</v>
      </c>
      <c r="E12" s="704"/>
      <c r="F12" s="1825">
        <f>'Expenditures 15-22'!K295</f>
        <v>115596</v>
      </c>
      <c r="G12" s="708"/>
    </row>
    <row r="13" spans="1:9" x14ac:dyDescent="0.2">
      <c r="A13" s="705" t="s">
        <v>106</v>
      </c>
      <c r="B13" s="706" t="s">
        <v>1855</v>
      </c>
      <c r="C13" s="707"/>
      <c r="D13" s="705" t="s">
        <v>498</v>
      </c>
      <c r="E13" s="704"/>
      <c r="F13" s="1825">
        <f>'Expenditures 15-22'!K342</f>
        <v>150541</v>
      </c>
      <c r="G13" s="709"/>
    </row>
    <row r="14" spans="1:9" ht="12" customHeight="1" thickBot="1" x14ac:dyDescent="0.25">
      <c r="A14" s="1492"/>
      <c r="B14" s="1493"/>
      <c r="C14" s="1494"/>
      <c r="D14" s="1495" t="s">
        <v>498</v>
      </c>
      <c r="E14" s="1496" t="s">
        <v>952</v>
      </c>
      <c r="F14" s="1826">
        <f>SUM(F8:F13)</f>
        <v>5502551</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53752</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80182</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32442</v>
      </c>
      <c r="G52" s="701"/>
    </row>
    <row r="53" spans="1:7" x14ac:dyDescent="0.2">
      <c r="A53" s="705" t="s">
        <v>456</v>
      </c>
      <c r="B53" s="705" t="s">
        <v>1461</v>
      </c>
      <c r="C53" s="724">
        <f>'Expenditures 15-22'!B102</f>
        <v>4000</v>
      </c>
      <c r="D53" s="723" t="str">
        <f>'Expenditures 15-22'!A102</f>
        <v>Total Payments to Other Govt Units</v>
      </c>
      <c r="E53" s="704"/>
      <c r="F53" s="1832">
        <f>'Expenditures 15-22'!K102</f>
        <v>164776</v>
      </c>
      <c r="G53" s="701"/>
    </row>
    <row r="54" spans="1:7" x14ac:dyDescent="0.2">
      <c r="A54" s="705" t="s">
        <v>456</v>
      </c>
      <c r="B54" s="705" t="s">
        <v>1462</v>
      </c>
      <c r="C54" s="724" t="s">
        <v>975</v>
      </c>
      <c r="D54" s="720" t="s">
        <v>1088</v>
      </c>
      <c r="E54" s="704"/>
      <c r="F54" s="1832">
        <f>'Expenditures 15-22'!G114</f>
        <v>0</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43831</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365000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13049</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1010</v>
      </c>
      <c r="G67" s="701"/>
    </row>
    <row r="68" spans="1:9" x14ac:dyDescent="0.2">
      <c r="A68" s="705" t="s">
        <v>459</v>
      </c>
      <c r="B68" s="705" t="s">
        <v>1465</v>
      </c>
      <c r="C68" s="721" t="str">
        <f>'Expenditures 15-22'!B218</f>
        <v>1225</v>
      </c>
      <c r="D68" s="727" t="str">
        <f>'Expenditures 15-22'!A218</f>
        <v>Special Education Programs - Pre-K</v>
      </c>
      <c r="E68" s="704"/>
      <c r="F68" s="1832">
        <f>'Expenditures 15-22'!K218</f>
        <v>4785</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3227</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9176</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771230</v>
      </c>
      <c r="G77" s="701"/>
    </row>
    <row r="78" spans="1:9" s="728" customFormat="1" ht="12" customHeight="1" thickTop="1" thickBot="1" x14ac:dyDescent="0.25">
      <c r="A78" s="1499"/>
      <c r="B78" s="1497"/>
      <c r="C78" s="1494"/>
      <c r="D78" s="1498" t="s">
        <v>2015</v>
      </c>
      <c r="E78" s="1496"/>
      <c r="F78" s="1838">
        <f>(F14-F77)</f>
        <v>4731321</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381.01</v>
      </c>
      <c r="G79" s="733"/>
      <c r="H79" s="705"/>
      <c r="I79" s="705"/>
    </row>
    <row r="80" spans="1:9" s="728" customFormat="1" ht="12" customHeight="1" thickBot="1" x14ac:dyDescent="0.25">
      <c r="A80" s="1501"/>
      <c r="B80" s="1497"/>
      <c r="C80" s="1494"/>
      <c r="D80" s="1498" t="s">
        <v>2016</v>
      </c>
      <c r="E80" s="1496" t="s">
        <v>952</v>
      </c>
      <c r="F80" s="1840">
        <f>IF(F79&gt;0,F78/F79," Complete Line 79")</f>
        <v>12417.839426786699</v>
      </c>
      <c r="G80" s="705"/>
    </row>
    <row r="81" spans="1:7" s="728" customFormat="1" ht="8.25" customHeight="1" thickTop="1" x14ac:dyDescent="0.2">
      <c r="A81" s="734"/>
      <c r="B81" s="705"/>
      <c r="C81" s="707"/>
      <c r="D81" s="735"/>
      <c r="E81" s="704"/>
      <c r="F81" s="1841"/>
      <c r="G81" s="705"/>
    </row>
    <row r="82" spans="1:7" s="728" customFormat="1" ht="12" thickBot="1" x14ac:dyDescent="0.25">
      <c r="A82" s="2435" t="s">
        <v>1098</v>
      </c>
      <c r="B82" s="2436"/>
      <c r="C82" s="2436"/>
      <c r="D82" s="2436"/>
      <c r="E82" s="2436"/>
      <c r="F82" s="243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51547</v>
      </c>
      <c r="G95" s="745"/>
    </row>
    <row r="96" spans="1:7" x14ac:dyDescent="0.2">
      <c r="A96" s="741" t="s">
        <v>139</v>
      </c>
      <c r="B96" s="741" t="s">
        <v>174</v>
      </c>
      <c r="C96" s="743">
        <v>1700</v>
      </c>
      <c r="D96" s="751" t="str">
        <f>'Revenues 9-14'!A82</f>
        <v>Total District/School Activity Income</v>
      </c>
      <c r="E96" s="739"/>
      <c r="F96" s="1843">
        <f>SUM('Revenues 9-14'!C82,'Revenues 9-14'!D82)</f>
        <v>21070</v>
      </c>
      <c r="G96" s="745"/>
    </row>
    <row r="97" spans="1:7" x14ac:dyDescent="0.2">
      <c r="A97" s="741" t="s">
        <v>456</v>
      </c>
      <c r="B97" s="741" t="s">
        <v>175</v>
      </c>
      <c r="C97" s="743">
        <f>'Revenues 9-14'!B84</f>
        <v>1811</v>
      </c>
      <c r="D97" s="744" t="str">
        <f>'Revenues 9-14'!A84</f>
        <v>Rentals - Regular Textbooks</v>
      </c>
      <c r="E97" s="739"/>
      <c r="F97" s="1843">
        <f>'Revenues 9-14'!C84</f>
        <v>42405</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30059</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500</v>
      </c>
      <c r="G104" s="745"/>
    </row>
    <row r="105" spans="1:7" x14ac:dyDescent="0.2">
      <c r="A105" s="741" t="s">
        <v>456</v>
      </c>
      <c r="B105" s="741" t="s">
        <v>803</v>
      </c>
      <c r="C105" s="743">
        <f>'Revenues 9-14'!B106</f>
        <v>1993</v>
      </c>
      <c r="D105" s="744" t="str">
        <f>'Revenues 9-14'!A106</f>
        <v>Other Local Fees (Describe &amp; Itemize)</v>
      </c>
      <c r="E105" s="739"/>
      <c r="F105" s="1843">
        <f>('Revenues 9-14'!C106)</f>
        <v>261</v>
      </c>
      <c r="G105" s="745"/>
    </row>
    <row r="106" spans="1:7" x14ac:dyDescent="0.2">
      <c r="A106" s="741" t="s">
        <v>500</v>
      </c>
      <c r="B106" s="741" t="s">
        <v>1913</v>
      </c>
      <c r="C106" s="746">
        <v>3100</v>
      </c>
      <c r="D106" s="752" t="str">
        <f>'Revenues 9-14'!A132</f>
        <v>Total Special Education</v>
      </c>
      <c r="E106" s="739"/>
      <c r="F106" s="1843">
        <f>SUM('Revenues 9-14'!C132:D132,'Revenues 9-14'!F132)</f>
        <v>11628</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10904</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1143</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2770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105542</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26682</v>
      </c>
      <c r="G125" s="763"/>
    </row>
    <row r="126" spans="1:7" x14ac:dyDescent="0.2">
      <c r="A126" s="760" t="s">
        <v>659</v>
      </c>
      <c r="B126" s="760" t="s">
        <v>1933</v>
      </c>
      <c r="C126" s="765">
        <v>4200</v>
      </c>
      <c r="D126" s="762" t="str">
        <f>'Revenues 9-14'!A198</f>
        <v>Total Food Service</v>
      </c>
      <c r="E126" s="739"/>
      <c r="F126" s="1843">
        <f>SUM('Revenues 9-14'!C198,'Revenues 9-14'!G198)</f>
        <v>96754</v>
      </c>
      <c r="G126" s="763"/>
    </row>
    <row r="127" spans="1:7" x14ac:dyDescent="0.2">
      <c r="A127" s="760" t="s">
        <v>663</v>
      </c>
      <c r="B127" s="760" t="s">
        <v>1934</v>
      </c>
      <c r="C127" s="765">
        <v>4300</v>
      </c>
      <c r="D127" s="766" t="str">
        <f>'Revenues 9-14'!A204</f>
        <v>Total Title I</v>
      </c>
      <c r="E127" s="739"/>
      <c r="F127" s="1843">
        <f>SUM('Revenues 9-14'!C204,'Revenues 9-14'!D204,'Revenues 9-14'!F204,'Revenues 9-14'!G204)</f>
        <v>112161</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220248</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18552</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21775</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11610</v>
      </c>
      <c r="G171" s="760"/>
    </row>
    <row r="172" spans="1:7" x14ac:dyDescent="0.2">
      <c r="A172" s="1579" t="s">
        <v>5</v>
      </c>
      <c r="B172" s="1580" t="s">
        <v>1888</v>
      </c>
      <c r="C172" s="1581">
        <v>3100</v>
      </c>
      <c r="D172" s="1582" t="s">
        <v>1890</v>
      </c>
      <c r="E172" s="739"/>
      <c r="F172" s="1844">
        <v>0</v>
      </c>
      <c r="G172" s="760"/>
    </row>
    <row r="173" spans="1:7" x14ac:dyDescent="0.2">
      <c r="A173" s="1579" t="s">
        <v>659</v>
      </c>
      <c r="B173" s="1580" t="s">
        <v>1888</v>
      </c>
      <c r="C173" s="1581">
        <v>3300</v>
      </c>
      <c r="D173" s="1582" t="s">
        <v>1891</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835611</v>
      </c>
    </row>
    <row r="176" spans="1:7" ht="12" customHeight="1" x14ac:dyDescent="0.2">
      <c r="A176" s="1492"/>
      <c r="B176" s="1502"/>
      <c r="C176" s="1503"/>
      <c r="D176" s="1504" t="s">
        <v>2017</v>
      </c>
      <c r="E176" s="1505"/>
      <c r="F176" s="1843">
        <f>'PCTC-OEPP 27-28'!F78-F175</f>
        <v>3895710</v>
      </c>
    </row>
    <row r="177" spans="1:9" ht="12" customHeight="1" x14ac:dyDescent="0.2">
      <c r="A177" s="1492"/>
      <c r="B177" s="1502"/>
      <c r="C177" s="1503"/>
      <c r="D177" s="1504" t="s">
        <v>1797</v>
      </c>
      <c r="E177" s="1505"/>
      <c r="F177" s="1843">
        <f>'Cap Outlay Deprec 26'!I18</f>
        <v>275298</v>
      </c>
    </row>
    <row r="178" spans="1:9" ht="12" customHeight="1" x14ac:dyDescent="0.2">
      <c r="A178" s="1492"/>
      <c r="B178" s="1502"/>
      <c r="C178" s="1503"/>
      <c r="D178" s="1504" t="s">
        <v>2018</v>
      </c>
      <c r="E178" s="1505"/>
      <c r="F178" s="1843">
        <f>F176+F177</f>
        <v>4171008</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381.01</v>
      </c>
      <c r="G179" s="763"/>
      <c r="I179" s="701"/>
    </row>
    <row r="180" spans="1:9" ht="12" customHeight="1" thickBot="1" x14ac:dyDescent="0.25">
      <c r="A180" s="1492"/>
      <c r="B180" s="1506"/>
      <c r="C180" s="1503"/>
      <c r="D180" s="1504" t="s">
        <v>2020</v>
      </c>
      <c r="E180" s="1505" t="s">
        <v>1531</v>
      </c>
      <c r="F180" s="1848">
        <f>F178/F179</f>
        <v>10947.240229915225</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tabColor rgb="FF92D050"/>
    <pageSetUpPr fitToPage="1"/>
  </sheetPr>
  <dimension ref="A1:F143"/>
  <sheetViews>
    <sheetView showGridLines="0" zoomScaleNormal="100" workbookViewId="0">
      <selection activeCell="B25" sqref="B25"/>
    </sheetView>
  </sheetViews>
  <sheetFormatPr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5"/>
  </cols>
  <sheetData>
    <row r="1" spans="1:6" ht="15" customHeight="1" x14ac:dyDescent="0.25">
      <c r="A1" s="1922" t="s">
        <v>1810</v>
      </c>
      <c r="B1" s="1923"/>
      <c r="C1" s="1924"/>
      <c r="D1" s="1924"/>
      <c r="E1" s="1924"/>
      <c r="F1" s="1924"/>
    </row>
    <row r="2" spans="1:6" x14ac:dyDescent="0.25">
      <c r="A2" s="1926"/>
      <c r="B2" s="1927"/>
      <c r="C2" s="1980" t="s">
        <v>2006</v>
      </c>
      <c r="D2" s="1926"/>
      <c r="E2" s="1926"/>
      <c r="F2" s="1926"/>
    </row>
    <row r="3" spans="1:6" ht="5.25" customHeight="1" x14ac:dyDescent="0.25">
      <c r="A3" s="1928"/>
      <c r="B3" s="1929"/>
      <c r="C3" s="1928"/>
      <c r="D3" s="1928"/>
      <c r="E3" s="1928"/>
      <c r="F3" s="1928"/>
    </row>
    <row r="4" spans="1:6" ht="18.75" customHeight="1" x14ac:dyDescent="0.25">
      <c r="A4" s="2449" t="s">
        <v>1798</v>
      </c>
      <c r="B4" s="2450"/>
      <c r="C4" s="2450"/>
      <c r="D4" s="2450"/>
      <c r="E4" s="2450"/>
      <c r="F4" s="2451"/>
    </row>
    <row r="5" spans="1:6" x14ac:dyDescent="0.25">
      <c r="A5" s="2452"/>
      <c r="B5" s="2453"/>
      <c r="C5" s="2453"/>
      <c r="D5" s="2453"/>
      <c r="E5" s="2453"/>
      <c r="F5" s="2454"/>
    </row>
    <row r="6" spans="1:6" ht="18.75" x14ac:dyDescent="0.25">
      <c r="A6" s="1930" t="s">
        <v>1799</v>
      </c>
      <c r="B6" s="1931"/>
      <c r="C6" s="1932"/>
      <c r="D6" s="1932"/>
      <c r="E6" s="1932"/>
      <c r="F6" s="1933"/>
    </row>
    <row r="7" spans="1:6" ht="47.25" customHeight="1" x14ac:dyDescent="0.25">
      <c r="A7" s="2455" t="s">
        <v>1988</v>
      </c>
      <c r="B7" s="2456"/>
      <c r="C7" s="2456"/>
      <c r="D7" s="2456"/>
      <c r="E7" s="2456"/>
      <c r="F7" s="2457"/>
    </row>
    <row r="8" spans="1:6" ht="20.25" customHeight="1" x14ac:dyDescent="0.25">
      <c r="A8" s="1964" t="s">
        <v>1990</v>
      </c>
      <c r="B8" s="1965"/>
      <c r="C8" s="1965"/>
      <c r="D8" s="1965"/>
      <c r="E8" s="1934"/>
      <c r="F8" s="1935"/>
    </row>
    <row r="9" spans="1:6" ht="18" customHeight="1" x14ac:dyDescent="0.25">
      <c r="A9" s="1936" t="s">
        <v>1987</v>
      </c>
      <c r="B9" s="1938"/>
      <c r="C9" s="1938"/>
      <c r="D9" s="1938"/>
      <c r="E9" s="1934"/>
      <c r="F9" s="1935"/>
    </row>
    <row r="10" spans="1:6" ht="15.75" customHeight="1" x14ac:dyDescent="0.25">
      <c r="A10" s="2458" t="s">
        <v>1984</v>
      </c>
      <c r="B10" s="2459"/>
      <c r="C10" s="2459"/>
      <c r="D10" s="2459"/>
      <c r="E10" s="2459"/>
      <c r="F10" s="2460"/>
    </row>
    <row r="11" spans="1:6" ht="33" customHeight="1" x14ac:dyDescent="0.25">
      <c r="A11" s="2455" t="s">
        <v>1989</v>
      </c>
      <c r="B11" s="2456"/>
      <c r="C11" s="2456"/>
      <c r="D11" s="2456"/>
      <c r="E11" s="2456"/>
      <c r="F11" s="2457"/>
    </row>
    <row r="12" spans="1:6" ht="15" customHeight="1" x14ac:dyDescent="0.25">
      <c r="A12" s="1936" t="s">
        <v>1985</v>
      </c>
      <c r="B12" s="1937"/>
      <c r="C12" s="1938"/>
      <c r="D12" s="1938"/>
      <c r="E12" s="1938"/>
      <c r="F12" s="1939"/>
    </row>
    <row r="13" spans="1:6" ht="17.25" customHeight="1" x14ac:dyDescent="0.25">
      <c r="A13" s="2455" t="s">
        <v>1986</v>
      </c>
      <c r="B13" s="2456"/>
      <c r="C13" s="2456"/>
      <c r="D13" s="2456"/>
      <c r="E13" s="2456"/>
      <c r="F13" s="2457"/>
    </row>
    <row r="14" spans="1:6" ht="15" customHeight="1" x14ac:dyDescent="0.25">
      <c r="A14" s="1936" t="s">
        <v>1803</v>
      </c>
      <c r="B14" s="1937"/>
      <c r="C14" s="1938"/>
      <c r="D14" s="1938"/>
      <c r="E14" s="1938"/>
      <c r="F14" s="1939"/>
    </row>
    <row r="15" spans="1:6" ht="32.25" customHeight="1" x14ac:dyDescent="0.25">
      <c r="A15" s="244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7"/>
      <c r="C15" s="2447"/>
      <c r="D15" s="2447"/>
      <c r="E15" s="2447"/>
      <c r="F15" s="2448"/>
    </row>
    <row r="16" spans="1:6" ht="61.5" customHeight="1" x14ac:dyDescent="0.25">
      <c r="A16" s="1940" t="s">
        <v>1804</v>
      </c>
      <c r="B16" s="1941" t="s">
        <v>1805</v>
      </c>
      <c r="C16" s="1940" t="s">
        <v>1806</v>
      </c>
      <c r="D16" s="1942" t="s">
        <v>1807</v>
      </c>
      <c r="E16" s="1942" t="s">
        <v>1808</v>
      </c>
      <c r="F16" s="1942" t="s">
        <v>1809</v>
      </c>
    </row>
    <row r="17" spans="1:6" x14ac:dyDescent="0.25">
      <c r="A17" s="1943" t="s">
        <v>1811</v>
      </c>
      <c r="B17" s="1969" t="s">
        <v>1802</v>
      </c>
      <c r="C17" s="1944" t="s">
        <v>1800</v>
      </c>
      <c r="D17" s="1945">
        <v>500000</v>
      </c>
      <c r="E17" s="1945" t="str">
        <f t="shared" ref="E17:E22" si="0">IF(D17&lt;25000,D17,"25,000")</f>
        <v>25,000</v>
      </c>
      <c r="F17" s="1946">
        <f t="shared" ref="F17:F22" si="1">IF(D17&gt;=25000,(D17-E17),"0")</f>
        <v>475000</v>
      </c>
    </row>
    <row r="18" spans="1:6" x14ac:dyDescent="0.25">
      <c r="A18" s="1987" t="s">
        <v>2042</v>
      </c>
      <c r="B18" s="1970">
        <v>202540300</v>
      </c>
      <c r="C18" s="1988" t="s">
        <v>2043</v>
      </c>
      <c r="D18" s="1949">
        <v>1952</v>
      </c>
      <c r="E18" s="1968">
        <f t="shared" si="0"/>
        <v>1952</v>
      </c>
      <c r="F18" s="1968" t="str">
        <f t="shared" si="1"/>
        <v>0</v>
      </c>
    </row>
    <row r="19" spans="1:6" x14ac:dyDescent="0.25">
      <c r="A19" s="1987" t="s">
        <v>2042</v>
      </c>
      <c r="B19" s="1970">
        <v>202540300</v>
      </c>
      <c r="C19" s="1988" t="s">
        <v>2044</v>
      </c>
      <c r="D19" s="1949">
        <v>16944</v>
      </c>
      <c r="E19" s="1968">
        <f t="shared" si="0"/>
        <v>16944</v>
      </c>
      <c r="F19" s="1968" t="str">
        <f t="shared" si="1"/>
        <v>0</v>
      </c>
    </row>
    <row r="20" spans="1:6" x14ac:dyDescent="0.25">
      <c r="A20" s="1987" t="s">
        <v>2045</v>
      </c>
      <c r="B20" s="1970">
        <v>102570300</v>
      </c>
      <c r="C20" s="1988" t="s">
        <v>2047</v>
      </c>
      <c r="D20" s="1949">
        <v>17542</v>
      </c>
      <c r="E20" s="1968">
        <f t="shared" si="0"/>
        <v>17542</v>
      </c>
      <c r="F20" s="1968" t="str">
        <f t="shared" si="1"/>
        <v>0</v>
      </c>
    </row>
    <row r="21" spans="1:6" x14ac:dyDescent="0.25">
      <c r="A21" s="1989" t="s">
        <v>2046</v>
      </c>
      <c r="B21" s="1970">
        <v>102660300</v>
      </c>
      <c r="C21" s="1990" t="s">
        <v>2065</v>
      </c>
      <c r="D21" s="1949">
        <v>12642</v>
      </c>
      <c r="E21" s="1968">
        <f t="shared" si="0"/>
        <v>12642</v>
      </c>
      <c r="F21" s="1968" t="str">
        <f t="shared" si="1"/>
        <v>0</v>
      </c>
    </row>
    <row r="22" spans="1:6" x14ac:dyDescent="0.25">
      <c r="A22" s="1987" t="s">
        <v>2046</v>
      </c>
      <c r="B22" s="1970">
        <v>102660300</v>
      </c>
      <c r="C22" s="1988" t="s">
        <v>2048</v>
      </c>
      <c r="D22" s="1949">
        <v>960</v>
      </c>
      <c r="E22" s="1968">
        <f t="shared" si="0"/>
        <v>960</v>
      </c>
      <c r="F22" s="1968" t="str">
        <f t="shared" si="1"/>
        <v>0</v>
      </c>
    </row>
    <row r="23" spans="1:6" x14ac:dyDescent="0.25">
      <c r="A23" s="1987" t="s">
        <v>2046</v>
      </c>
      <c r="B23" s="1970">
        <v>102660300</v>
      </c>
      <c r="C23" s="1988" t="s">
        <v>2049</v>
      </c>
      <c r="D23" s="1949">
        <v>950</v>
      </c>
      <c r="E23" s="1968">
        <f t="shared" ref="E23:E24" si="2">IF(D23&lt;25000,D23,"25,000")</f>
        <v>950</v>
      </c>
      <c r="F23" s="1968" t="str">
        <f t="shared" ref="F23:F24" si="3">IF(D23&gt;=25000,(D23-E23),"0")</f>
        <v>0</v>
      </c>
    </row>
    <row r="24" spans="1:6" x14ac:dyDescent="0.25">
      <c r="A24" s="1989" t="s">
        <v>2061</v>
      </c>
      <c r="B24" s="1970">
        <v>102100300</v>
      </c>
      <c r="C24" s="1990" t="s">
        <v>2062</v>
      </c>
      <c r="D24" s="1949">
        <v>39621</v>
      </c>
      <c r="E24" s="1968" t="str">
        <f t="shared" si="2"/>
        <v>25,000</v>
      </c>
      <c r="F24" s="1968">
        <f t="shared" si="3"/>
        <v>14621</v>
      </c>
    </row>
    <row r="25" spans="1:6" ht="30" x14ac:dyDescent="0.25">
      <c r="A25" s="1989" t="s">
        <v>2063</v>
      </c>
      <c r="B25" s="1970">
        <v>102100300</v>
      </c>
      <c r="C25" s="1990" t="s">
        <v>2064</v>
      </c>
      <c r="D25" s="1949">
        <v>64866</v>
      </c>
      <c r="E25" s="1968" t="str">
        <f t="shared" ref="E25:E82" si="4">IF(D25&lt;25000,D25,"25,000")</f>
        <v>25,000</v>
      </c>
      <c r="F25" s="1968">
        <f t="shared" ref="F25:F82" si="5">IF(D25&gt;=25000,(D25-E25),"0")</f>
        <v>39866</v>
      </c>
    </row>
    <row r="26" spans="1:6" x14ac:dyDescent="0.25">
      <c r="A26" s="1987"/>
      <c r="B26" s="1970"/>
      <c r="C26" s="1988"/>
      <c r="D26" s="1949"/>
      <c r="E26" s="1968">
        <f t="shared" si="4"/>
        <v>0</v>
      </c>
      <c r="F26" s="1968" t="str">
        <f t="shared" si="5"/>
        <v>0</v>
      </c>
    </row>
    <row r="27" spans="1:6" x14ac:dyDescent="0.25">
      <c r="A27" s="1950"/>
      <c r="B27" s="1970"/>
      <c r="C27" s="1948"/>
      <c r="D27" s="1949"/>
      <c r="E27" s="1968">
        <f t="shared" si="4"/>
        <v>0</v>
      </c>
      <c r="F27" s="1968" t="str">
        <f t="shared" si="5"/>
        <v>0</v>
      </c>
    </row>
    <row r="28" spans="1:6" x14ac:dyDescent="0.25">
      <c r="A28" s="1950"/>
      <c r="B28" s="1970"/>
      <c r="C28" s="1951"/>
      <c r="D28" s="1949"/>
      <c r="E28" s="1968">
        <f t="shared" si="4"/>
        <v>0</v>
      </c>
      <c r="F28" s="1968" t="str">
        <f t="shared" si="5"/>
        <v>0</v>
      </c>
    </row>
    <row r="29" spans="1:6" x14ac:dyDescent="0.25">
      <c r="A29" s="1950"/>
      <c r="B29" s="1970"/>
      <c r="C29" s="1951"/>
      <c r="D29" s="1949"/>
      <c r="E29" s="1968">
        <f t="shared" si="4"/>
        <v>0</v>
      </c>
      <c r="F29" s="1968" t="str">
        <f t="shared" si="5"/>
        <v>0</v>
      </c>
    </row>
    <row r="30" spans="1:6" x14ac:dyDescent="0.25">
      <c r="A30" s="1950"/>
      <c r="B30" s="1970"/>
      <c r="C30" s="1951"/>
      <c r="D30" s="1949"/>
      <c r="E30" s="1968">
        <f t="shared" si="4"/>
        <v>0</v>
      </c>
      <c r="F30" s="1968" t="str">
        <f t="shared" si="5"/>
        <v>0</v>
      </c>
    </row>
    <row r="31" spans="1:6" x14ac:dyDescent="0.25">
      <c r="A31" s="1950"/>
      <c r="B31" s="1970"/>
      <c r="C31" s="1951"/>
      <c r="D31" s="1949"/>
      <c r="E31" s="1968">
        <f t="shared" si="4"/>
        <v>0</v>
      </c>
      <c r="F31" s="1968" t="str">
        <f t="shared" si="5"/>
        <v>0</v>
      </c>
    </row>
    <row r="32" spans="1:6" x14ac:dyDescent="0.25">
      <c r="A32" s="1950"/>
      <c r="B32" s="1970"/>
      <c r="C32" s="1951"/>
      <c r="D32" s="1949"/>
      <c r="E32" s="1968">
        <f t="shared" si="4"/>
        <v>0</v>
      </c>
      <c r="F32" s="1968" t="str">
        <f t="shared" si="5"/>
        <v>0</v>
      </c>
    </row>
    <row r="33" spans="1:6" x14ac:dyDescent="0.25">
      <c r="A33" s="1950"/>
      <c r="B33" s="1970"/>
      <c r="C33" s="1951"/>
      <c r="D33" s="1949"/>
      <c r="E33" s="1968">
        <f t="shared" si="4"/>
        <v>0</v>
      </c>
      <c r="F33" s="1968" t="str">
        <f t="shared" si="5"/>
        <v>0</v>
      </c>
    </row>
    <row r="34" spans="1:6" x14ac:dyDescent="0.25">
      <c r="A34" s="1950"/>
      <c r="B34" s="1970"/>
      <c r="C34" s="1951"/>
      <c r="D34" s="1949"/>
      <c r="E34" s="1968">
        <f t="shared" si="4"/>
        <v>0</v>
      </c>
      <c r="F34" s="1968" t="str">
        <f t="shared" si="5"/>
        <v>0</v>
      </c>
    </row>
    <row r="35" spans="1:6" x14ac:dyDescent="0.25">
      <c r="A35" s="1950"/>
      <c r="B35" s="1970"/>
      <c r="C35" s="1951"/>
      <c r="D35" s="1949"/>
      <c r="E35" s="1968">
        <f t="shared" si="4"/>
        <v>0</v>
      </c>
      <c r="F35" s="1968" t="str">
        <f t="shared" si="5"/>
        <v>0</v>
      </c>
    </row>
    <row r="36" spans="1:6" x14ac:dyDescent="0.25">
      <c r="A36" s="1950"/>
      <c r="B36" s="1970"/>
      <c r="C36" s="1951"/>
      <c r="D36" s="1949"/>
      <c r="E36" s="1968">
        <f t="shared" si="4"/>
        <v>0</v>
      </c>
      <c r="F36" s="1968" t="str">
        <f t="shared" si="5"/>
        <v>0</v>
      </c>
    </row>
    <row r="37" spans="1:6" x14ac:dyDescent="0.25">
      <c r="A37" s="1950"/>
      <c r="B37" s="1970"/>
      <c r="C37" s="1951"/>
      <c r="D37" s="1949"/>
      <c r="E37" s="1968">
        <f t="shared" si="4"/>
        <v>0</v>
      </c>
      <c r="F37" s="1968" t="str">
        <f t="shared" si="5"/>
        <v>0</v>
      </c>
    </row>
    <row r="38" spans="1:6" x14ac:dyDescent="0.25">
      <c r="A38" s="1950"/>
      <c r="B38" s="1970"/>
      <c r="C38" s="1951"/>
      <c r="D38" s="1949"/>
      <c r="E38" s="1968">
        <f t="shared" si="4"/>
        <v>0</v>
      </c>
      <c r="F38" s="1968" t="str">
        <f t="shared" si="5"/>
        <v>0</v>
      </c>
    </row>
    <row r="39" spans="1:6" x14ac:dyDescent="0.25">
      <c r="A39" s="1950"/>
      <c r="B39" s="1970"/>
      <c r="C39" s="1951"/>
      <c r="D39" s="1949"/>
      <c r="E39" s="1968">
        <f t="shared" si="4"/>
        <v>0</v>
      </c>
      <c r="F39" s="1968" t="str">
        <f t="shared" si="5"/>
        <v>0</v>
      </c>
    </row>
    <row r="40" spans="1:6" x14ac:dyDescent="0.25">
      <c r="A40" s="1950"/>
      <c r="B40" s="1971"/>
      <c r="C40" s="1951"/>
      <c r="D40" s="1949"/>
      <c r="E40" s="1968">
        <f t="shared" si="4"/>
        <v>0</v>
      </c>
      <c r="F40" s="1968" t="str">
        <f t="shared" si="5"/>
        <v>0</v>
      </c>
    </row>
    <row r="41" spans="1:6" x14ac:dyDescent="0.25">
      <c r="A41" s="1950"/>
      <c r="B41" s="1971"/>
      <c r="C41" s="1951"/>
      <c r="D41" s="1949"/>
      <c r="E41" s="1968">
        <f t="shared" si="4"/>
        <v>0</v>
      </c>
      <c r="F41" s="1968" t="str">
        <f t="shared" si="5"/>
        <v>0</v>
      </c>
    </row>
    <row r="42" spans="1:6" x14ac:dyDescent="0.25">
      <c r="A42" s="1950"/>
      <c r="B42" s="1971"/>
      <c r="C42" s="1951"/>
      <c r="D42" s="1949"/>
      <c r="E42" s="1968">
        <f t="shared" si="4"/>
        <v>0</v>
      </c>
      <c r="F42" s="1968" t="str">
        <f t="shared" si="5"/>
        <v>0</v>
      </c>
    </row>
    <row r="43" spans="1:6" x14ac:dyDescent="0.25">
      <c r="A43" s="1950"/>
      <c r="B43" s="1971"/>
      <c r="C43" s="1951"/>
      <c r="D43" s="1949"/>
      <c r="E43" s="1968">
        <f t="shared" si="4"/>
        <v>0</v>
      </c>
      <c r="F43" s="1968" t="str">
        <f t="shared" si="5"/>
        <v>0</v>
      </c>
    </row>
    <row r="44" spans="1:6" x14ac:dyDescent="0.25">
      <c r="A44" s="1950"/>
      <c r="B44" s="1971"/>
      <c r="C44" s="1951"/>
      <c r="D44" s="1949"/>
      <c r="E44" s="1968">
        <f t="shared" si="4"/>
        <v>0</v>
      </c>
      <c r="F44" s="1968" t="str">
        <f t="shared" si="5"/>
        <v>0</v>
      </c>
    </row>
    <row r="45" spans="1:6" x14ac:dyDescent="0.25">
      <c r="A45" s="1950"/>
      <c r="B45" s="1971"/>
      <c r="C45" s="1951"/>
      <c r="D45" s="1949"/>
      <c r="E45" s="1968">
        <f t="shared" si="4"/>
        <v>0</v>
      </c>
      <c r="F45" s="1968" t="str">
        <f t="shared" si="5"/>
        <v>0</v>
      </c>
    </row>
    <row r="46" spans="1:6" x14ac:dyDescent="0.25">
      <c r="A46" s="1950"/>
      <c r="B46" s="1971"/>
      <c r="C46" s="1951"/>
      <c r="D46" s="1949"/>
      <c r="E46" s="1968">
        <f t="shared" si="4"/>
        <v>0</v>
      </c>
      <c r="F46" s="1968" t="str">
        <f t="shared" si="5"/>
        <v>0</v>
      </c>
    </row>
    <row r="47" spans="1:6" x14ac:dyDescent="0.25">
      <c r="A47" s="1950"/>
      <c r="B47" s="1971"/>
      <c r="C47" s="1951"/>
      <c r="D47" s="1949"/>
      <c r="E47" s="1968">
        <f t="shared" si="4"/>
        <v>0</v>
      </c>
      <c r="F47" s="1968" t="str">
        <f t="shared" si="5"/>
        <v>0</v>
      </c>
    </row>
    <row r="48" spans="1:6" x14ac:dyDescent="0.25">
      <c r="A48" s="1950"/>
      <c r="B48" s="1971"/>
      <c r="C48" s="1951"/>
      <c r="D48" s="1949"/>
      <c r="E48" s="1968">
        <f t="shared" si="4"/>
        <v>0</v>
      </c>
      <c r="F48" s="1968" t="str">
        <f t="shared" si="5"/>
        <v>0</v>
      </c>
    </row>
    <row r="49" spans="1:6" x14ac:dyDescent="0.25">
      <c r="A49" s="1950"/>
      <c r="B49" s="1971"/>
      <c r="C49" s="1951"/>
      <c r="D49" s="1949"/>
      <c r="E49" s="1968">
        <f t="shared" si="4"/>
        <v>0</v>
      </c>
      <c r="F49" s="1968" t="str">
        <f t="shared" si="5"/>
        <v>0</v>
      </c>
    </row>
    <row r="50" spans="1:6" x14ac:dyDescent="0.25">
      <c r="A50" s="1950"/>
      <c r="B50" s="1971"/>
      <c r="C50" s="1951"/>
      <c r="D50" s="1949"/>
      <c r="E50" s="1968">
        <f t="shared" si="4"/>
        <v>0</v>
      </c>
      <c r="F50" s="1968" t="str">
        <f t="shared" si="5"/>
        <v>0</v>
      </c>
    </row>
    <row r="51" spans="1:6" x14ac:dyDescent="0.25">
      <c r="A51" s="1950"/>
      <c r="B51" s="1971"/>
      <c r="C51" s="1951"/>
      <c r="D51" s="1949"/>
      <c r="E51" s="1968">
        <f t="shared" si="4"/>
        <v>0</v>
      </c>
      <c r="F51" s="1968" t="str">
        <f t="shared" si="5"/>
        <v>0</v>
      </c>
    </row>
    <row r="52" spans="1:6" x14ac:dyDescent="0.25">
      <c r="A52" s="1950"/>
      <c r="B52" s="1971"/>
      <c r="C52" s="1951"/>
      <c r="D52" s="1949"/>
      <c r="E52" s="1968">
        <f t="shared" si="4"/>
        <v>0</v>
      </c>
      <c r="F52" s="1968" t="str">
        <f t="shared" si="5"/>
        <v>0</v>
      </c>
    </row>
    <row r="53" spans="1:6" x14ac:dyDescent="0.25">
      <c r="A53" s="1950"/>
      <c r="B53" s="1971"/>
      <c r="C53" s="1951"/>
      <c r="D53" s="1949"/>
      <c r="E53" s="1968">
        <f t="shared" si="4"/>
        <v>0</v>
      </c>
      <c r="F53" s="1968" t="str">
        <f t="shared" si="5"/>
        <v>0</v>
      </c>
    </row>
    <row r="54" spans="1:6" x14ac:dyDescent="0.25">
      <c r="A54" s="1950"/>
      <c r="B54" s="1971"/>
      <c r="C54" s="1951"/>
      <c r="D54" s="1949"/>
      <c r="E54" s="1968">
        <f t="shared" si="4"/>
        <v>0</v>
      </c>
      <c r="F54" s="1968" t="str">
        <f t="shared" si="5"/>
        <v>0</v>
      </c>
    </row>
    <row r="55" spans="1:6" x14ac:dyDescent="0.25">
      <c r="A55" s="1950"/>
      <c r="B55" s="1971"/>
      <c r="C55" s="1951"/>
      <c r="D55" s="1949"/>
      <c r="E55" s="1968">
        <f t="shared" si="4"/>
        <v>0</v>
      </c>
      <c r="F55" s="1968" t="str">
        <f t="shared" si="5"/>
        <v>0</v>
      </c>
    </row>
    <row r="56" spans="1:6" x14ac:dyDescent="0.25">
      <c r="A56" s="1950"/>
      <c r="B56" s="1971"/>
      <c r="C56" s="1951"/>
      <c r="D56" s="1949"/>
      <c r="E56" s="1968">
        <f t="shared" si="4"/>
        <v>0</v>
      </c>
      <c r="F56" s="1968" t="str">
        <f t="shared" si="5"/>
        <v>0</v>
      </c>
    </row>
    <row r="57" spans="1:6" x14ac:dyDescent="0.25">
      <c r="A57" s="1950"/>
      <c r="B57" s="1971"/>
      <c r="C57" s="1951"/>
      <c r="D57" s="1949"/>
      <c r="E57" s="1968">
        <f t="shared" si="4"/>
        <v>0</v>
      </c>
      <c r="F57" s="1968" t="str">
        <f t="shared" si="5"/>
        <v>0</v>
      </c>
    </row>
    <row r="58" spans="1:6" x14ac:dyDescent="0.25">
      <c r="A58" s="1950"/>
      <c r="B58" s="1971"/>
      <c r="C58" s="1951"/>
      <c r="D58" s="1949"/>
      <c r="E58" s="1968">
        <f t="shared" si="4"/>
        <v>0</v>
      </c>
      <c r="F58" s="1968" t="str">
        <f t="shared" si="5"/>
        <v>0</v>
      </c>
    </row>
    <row r="59" spans="1:6" x14ac:dyDescent="0.25">
      <c r="A59" s="1950"/>
      <c r="B59" s="1971"/>
      <c r="C59" s="1951"/>
      <c r="D59" s="1949"/>
      <c r="E59" s="1968">
        <f t="shared" si="4"/>
        <v>0</v>
      </c>
      <c r="F59" s="1968" t="str">
        <f t="shared" si="5"/>
        <v>0</v>
      </c>
    </row>
    <row r="60" spans="1:6" x14ac:dyDescent="0.25">
      <c r="A60" s="1950"/>
      <c r="B60" s="1971"/>
      <c r="C60" s="1951"/>
      <c r="D60" s="1949"/>
      <c r="E60" s="1968">
        <f t="shared" si="4"/>
        <v>0</v>
      </c>
      <c r="F60" s="1968" t="str">
        <f t="shared" si="5"/>
        <v>0</v>
      </c>
    </row>
    <row r="61" spans="1:6" x14ac:dyDescent="0.25">
      <c r="A61" s="1950"/>
      <c r="B61" s="1971"/>
      <c r="C61" s="1951"/>
      <c r="D61" s="1949"/>
      <c r="E61" s="1968">
        <f t="shared" si="4"/>
        <v>0</v>
      </c>
      <c r="F61" s="1968" t="str">
        <f t="shared" si="5"/>
        <v>0</v>
      </c>
    </row>
    <row r="62" spans="1:6" x14ac:dyDescent="0.25">
      <c r="A62" s="1950"/>
      <c r="B62" s="1971"/>
      <c r="C62" s="1951"/>
      <c r="D62" s="1949"/>
      <c r="E62" s="1968">
        <f t="shared" si="4"/>
        <v>0</v>
      </c>
      <c r="F62" s="1968" t="str">
        <f t="shared" si="5"/>
        <v>0</v>
      </c>
    </row>
    <row r="63" spans="1:6" x14ac:dyDescent="0.25">
      <c r="A63" s="1950"/>
      <c r="B63" s="1971"/>
      <c r="C63" s="1951"/>
      <c r="D63" s="1949"/>
      <c r="E63" s="1968">
        <f t="shared" si="4"/>
        <v>0</v>
      </c>
      <c r="F63" s="1968" t="str">
        <f t="shared" si="5"/>
        <v>0</v>
      </c>
    </row>
    <row r="64" spans="1:6" x14ac:dyDescent="0.25">
      <c r="A64" s="1950"/>
      <c r="B64" s="1971"/>
      <c r="C64" s="1951"/>
      <c r="D64" s="1949"/>
      <c r="E64" s="1968">
        <f t="shared" si="4"/>
        <v>0</v>
      </c>
      <c r="F64" s="1968" t="str">
        <f t="shared" si="5"/>
        <v>0</v>
      </c>
    </row>
    <row r="65" spans="1:6" x14ac:dyDescent="0.25">
      <c r="A65" s="1950"/>
      <c r="B65" s="1971"/>
      <c r="C65" s="1951"/>
      <c r="D65" s="1949"/>
      <c r="E65" s="1968">
        <f t="shared" si="4"/>
        <v>0</v>
      </c>
      <c r="F65" s="1968" t="str">
        <f t="shared" si="5"/>
        <v>0</v>
      </c>
    </row>
    <row r="66" spans="1:6" x14ac:dyDescent="0.25">
      <c r="A66" s="1947"/>
      <c r="B66" s="1971"/>
      <c r="C66" s="1948"/>
      <c r="D66" s="1949"/>
      <c r="E66" s="1968">
        <f t="shared" si="4"/>
        <v>0</v>
      </c>
      <c r="F66" s="1968" t="str">
        <f t="shared" si="5"/>
        <v>0</v>
      </c>
    </row>
    <row r="67" spans="1:6" x14ac:dyDescent="0.25">
      <c r="A67" s="1950"/>
      <c r="B67" s="1971"/>
      <c r="C67" s="1951"/>
      <c r="D67" s="1949"/>
      <c r="E67" s="1968">
        <f t="shared" si="4"/>
        <v>0</v>
      </c>
      <c r="F67" s="1968" t="str">
        <f t="shared" si="5"/>
        <v>0</v>
      </c>
    </row>
    <row r="68" spans="1:6" x14ac:dyDescent="0.25">
      <c r="A68" s="1950"/>
      <c r="B68" s="1971"/>
      <c r="C68" s="1951"/>
      <c r="D68" s="1949"/>
      <c r="E68" s="1968">
        <f t="shared" si="4"/>
        <v>0</v>
      </c>
      <c r="F68" s="1968" t="str">
        <f t="shared" si="5"/>
        <v>0</v>
      </c>
    </row>
    <row r="69" spans="1:6" x14ac:dyDescent="0.25">
      <c r="A69" s="1950"/>
      <c r="B69" s="1971"/>
      <c r="C69" s="1951"/>
      <c r="D69" s="1949"/>
      <c r="E69" s="1968">
        <f t="shared" si="4"/>
        <v>0</v>
      </c>
      <c r="F69" s="1968" t="str">
        <f t="shared" si="5"/>
        <v>0</v>
      </c>
    </row>
    <row r="70" spans="1:6" x14ac:dyDescent="0.25">
      <c r="A70" s="1950"/>
      <c r="B70" s="1971"/>
      <c r="C70" s="1951"/>
      <c r="D70" s="1949"/>
      <c r="E70" s="1968">
        <f t="shared" si="4"/>
        <v>0</v>
      </c>
      <c r="F70" s="1968" t="str">
        <f t="shared" si="5"/>
        <v>0</v>
      </c>
    </row>
    <row r="71" spans="1:6" x14ac:dyDescent="0.25">
      <c r="A71" s="1950"/>
      <c r="B71" s="1971"/>
      <c r="C71" s="1951"/>
      <c r="D71" s="1949"/>
      <c r="E71" s="1968">
        <f t="shared" si="4"/>
        <v>0</v>
      </c>
      <c r="F71" s="1968" t="str">
        <f t="shared" si="5"/>
        <v>0</v>
      </c>
    </row>
    <row r="72" spans="1:6" x14ac:dyDescent="0.25">
      <c r="A72" s="1950"/>
      <c r="B72" s="1971"/>
      <c r="C72" s="1951"/>
      <c r="D72" s="1949"/>
      <c r="E72" s="1968">
        <f t="shared" si="4"/>
        <v>0</v>
      </c>
      <c r="F72" s="1968" t="str">
        <f t="shared" si="5"/>
        <v>0</v>
      </c>
    </row>
    <row r="73" spans="1:6" x14ac:dyDescent="0.25">
      <c r="A73" s="1950"/>
      <c r="B73" s="1971"/>
      <c r="C73" s="1951"/>
      <c r="D73" s="1949"/>
      <c r="E73" s="1968">
        <f t="shared" si="4"/>
        <v>0</v>
      </c>
      <c r="F73" s="1968" t="str">
        <f t="shared" si="5"/>
        <v>0</v>
      </c>
    </row>
    <row r="74" spans="1:6" x14ac:dyDescent="0.25">
      <c r="A74" s="1950"/>
      <c r="B74" s="1971"/>
      <c r="C74" s="1951"/>
      <c r="D74" s="1949"/>
      <c r="E74" s="1968">
        <f t="shared" si="4"/>
        <v>0</v>
      </c>
      <c r="F74" s="1968" t="str">
        <f t="shared" si="5"/>
        <v>0</v>
      </c>
    </row>
    <row r="75" spans="1:6" x14ac:dyDescent="0.25">
      <c r="A75" s="1950"/>
      <c r="B75" s="1971"/>
      <c r="C75" s="1951"/>
      <c r="D75" s="1949"/>
      <c r="E75" s="1968">
        <f t="shared" si="4"/>
        <v>0</v>
      </c>
      <c r="F75" s="1968" t="str">
        <f t="shared" si="5"/>
        <v>0</v>
      </c>
    </row>
    <row r="76" spans="1:6" x14ac:dyDescent="0.25">
      <c r="A76" s="1950"/>
      <c r="B76" s="1971"/>
      <c r="C76" s="1951"/>
      <c r="D76" s="1949"/>
      <c r="E76" s="1968">
        <f t="shared" si="4"/>
        <v>0</v>
      </c>
      <c r="F76" s="1968" t="str">
        <f t="shared" si="5"/>
        <v>0</v>
      </c>
    </row>
    <row r="77" spans="1:6" x14ac:dyDescent="0.25">
      <c r="A77" s="1950"/>
      <c r="B77" s="1971"/>
      <c r="C77" s="1951"/>
      <c r="D77" s="1949"/>
      <c r="E77" s="1968">
        <f t="shared" si="4"/>
        <v>0</v>
      </c>
      <c r="F77" s="1968" t="str">
        <f t="shared" si="5"/>
        <v>0</v>
      </c>
    </row>
    <row r="78" spans="1:6" x14ac:dyDescent="0.25">
      <c r="A78" s="1950"/>
      <c r="B78" s="1971"/>
      <c r="C78" s="1951"/>
      <c r="D78" s="1949"/>
      <c r="E78" s="1968">
        <f t="shared" si="4"/>
        <v>0</v>
      </c>
      <c r="F78" s="1968" t="str">
        <f t="shared" si="5"/>
        <v>0</v>
      </c>
    </row>
    <row r="79" spans="1:6" x14ac:dyDescent="0.25">
      <c r="A79" s="1950"/>
      <c r="B79" s="1971"/>
      <c r="C79" s="1951"/>
      <c r="D79" s="1949"/>
      <c r="E79" s="1968">
        <f t="shared" si="4"/>
        <v>0</v>
      </c>
      <c r="F79" s="1968" t="str">
        <f t="shared" si="5"/>
        <v>0</v>
      </c>
    </row>
    <row r="80" spans="1:6" x14ac:dyDescent="0.25">
      <c r="A80" s="1950"/>
      <c r="B80" s="1971"/>
      <c r="C80" s="1951"/>
      <c r="D80" s="1949"/>
      <c r="E80" s="1968">
        <f t="shared" si="4"/>
        <v>0</v>
      </c>
      <c r="F80" s="1968" t="str">
        <f t="shared" si="5"/>
        <v>0</v>
      </c>
    </row>
    <row r="81" spans="1:6" x14ac:dyDescent="0.25">
      <c r="A81" s="1950"/>
      <c r="B81" s="1971"/>
      <c r="C81" s="1951"/>
      <c r="D81" s="1949"/>
      <c r="E81" s="1968">
        <f t="shared" si="4"/>
        <v>0</v>
      </c>
      <c r="F81" s="1968" t="str">
        <f t="shared" si="5"/>
        <v>0</v>
      </c>
    </row>
    <row r="82" spans="1:6" x14ac:dyDescent="0.25">
      <c r="A82" s="1950"/>
      <c r="B82" s="1971"/>
      <c r="C82" s="1951"/>
      <c r="D82" s="1949"/>
      <c r="E82" s="1968">
        <f t="shared" si="4"/>
        <v>0</v>
      </c>
      <c r="F82" s="1968" t="str">
        <f t="shared" si="5"/>
        <v>0</v>
      </c>
    </row>
    <row r="83" spans="1:6" x14ac:dyDescent="0.25">
      <c r="A83" s="1950"/>
      <c r="B83" s="1971"/>
      <c r="C83" s="1951"/>
      <c r="D83" s="1949"/>
      <c r="E83" s="1968">
        <f t="shared" ref="E83:E142" si="6">IF(D83&lt;25000,D83,"25,000")</f>
        <v>0</v>
      </c>
      <c r="F83" s="1968" t="str">
        <f t="shared" ref="F83:F142" si="7">IF(D83&gt;=25000,(D83-E83),"0")</f>
        <v>0</v>
      </c>
    </row>
    <row r="84" spans="1:6" x14ac:dyDescent="0.25">
      <c r="A84" s="1950"/>
      <c r="B84" s="1971"/>
      <c r="C84" s="1951"/>
      <c r="D84" s="1949"/>
      <c r="E84" s="1968">
        <f t="shared" si="6"/>
        <v>0</v>
      </c>
      <c r="F84" s="1968" t="str">
        <f t="shared" si="7"/>
        <v>0</v>
      </c>
    </row>
    <row r="85" spans="1:6" x14ac:dyDescent="0.25">
      <c r="A85" s="1950"/>
      <c r="B85" s="1971"/>
      <c r="C85" s="1951"/>
      <c r="D85" s="1949"/>
      <c r="E85" s="1968">
        <f t="shared" si="6"/>
        <v>0</v>
      </c>
      <c r="F85" s="1968" t="str">
        <f t="shared" si="7"/>
        <v>0</v>
      </c>
    </row>
    <row r="86" spans="1:6" x14ac:dyDescent="0.25">
      <c r="A86" s="1950"/>
      <c r="B86" s="1971"/>
      <c r="C86" s="1951"/>
      <c r="D86" s="1949"/>
      <c r="E86" s="1968">
        <f t="shared" si="6"/>
        <v>0</v>
      </c>
      <c r="F86" s="1968" t="str">
        <f t="shared" si="7"/>
        <v>0</v>
      </c>
    </row>
    <row r="87" spans="1:6" x14ac:dyDescent="0.25">
      <c r="A87" s="1950"/>
      <c r="B87" s="1971"/>
      <c r="C87" s="1951"/>
      <c r="D87" s="1949"/>
      <c r="E87" s="1968">
        <f t="shared" si="6"/>
        <v>0</v>
      </c>
      <c r="F87" s="1968" t="str">
        <f t="shared" si="7"/>
        <v>0</v>
      </c>
    </row>
    <row r="88" spans="1:6" x14ac:dyDescent="0.25">
      <c r="A88" s="1950"/>
      <c r="B88" s="1971"/>
      <c r="C88" s="1951"/>
      <c r="D88" s="1949"/>
      <c r="E88" s="1968">
        <f t="shared" si="6"/>
        <v>0</v>
      </c>
      <c r="F88" s="1968" t="str">
        <f t="shared" si="7"/>
        <v>0</v>
      </c>
    </row>
    <row r="89" spans="1:6" x14ac:dyDescent="0.25">
      <c r="A89" s="1950"/>
      <c r="B89" s="1971"/>
      <c r="C89" s="1951"/>
      <c r="D89" s="1949"/>
      <c r="E89" s="1968">
        <f t="shared" si="6"/>
        <v>0</v>
      </c>
      <c r="F89" s="1968" t="str">
        <f t="shared" si="7"/>
        <v>0</v>
      </c>
    </row>
    <row r="90" spans="1:6" x14ac:dyDescent="0.25">
      <c r="A90" s="1950"/>
      <c r="B90" s="1971"/>
      <c r="C90" s="1951"/>
      <c r="D90" s="1949"/>
      <c r="E90" s="1968">
        <f t="shared" si="6"/>
        <v>0</v>
      </c>
      <c r="F90" s="1968" t="str">
        <f t="shared" si="7"/>
        <v>0</v>
      </c>
    </row>
    <row r="91" spans="1:6" x14ac:dyDescent="0.25">
      <c r="A91" s="1950"/>
      <c r="B91" s="1971"/>
      <c r="C91" s="1951"/>
      <c r="D91" s="1949"/>
      <c r="E91" s="1968">
        <f t="shared" si="6"/>
        <v>0</v>
      </c>
      <c r="F91" s="1968" t="str">
        <f t="shared" si="7"/>
        <v>0</v>
      </c>
    </row>
    <row r="92" spans="1:6" x14ac:dyDescent="0.25">
      <c r="A92" s="1950"/>
      <c r="B92" s="1971"/>
      <c r="C92" s="1951"/>
      <c r="D92" s="1949"/>
      <c r="E92" s="1968">
        <f t="shared" si="6"/>
        <v>0</v>
      </c>
      <c r="F92" s="1968" t="str">
        <f t="shared" si="7"/>
        <v>0</v>
      </c>
    </row>
    <row r="93" spans="1:6" x14ac:dyDescent="0.25">
      <c r="A93" s="1950"/>
      <c r="B93" s="1971"/>
      <c r="C93" s="1951"/>
      <c r="D93" s="1949"/>
      <c r="E93" s="1968">
        <f t="shared" si="6"/>
        <v>0</v>
      </c>
      <c r="F93" s="1968" t="str">
        <f t="shared" si="7"/>
        <v>0</v>
      </c>
    </row>
    <row r="94" spans="1:6" x14ac:dyDescent="0.25">
      <c r="A94" s="1950"/>
      <c r="B94" s="1971"/>
      <c r="C94" s="1951"/>
      <c r="D94" s="1949"/>
      <c r="E94" s="1968">
        <f t="shared" si="6"/>
        <v>0</v>
      </c>
      <c r="F94" s="1968" t="str">
        <f t="shared" si="7"/>
        <v>0</v>
      </c>
    </row>
    <row r="95" spans="1:6" x14ac:dyDescent="0.25">
      <c r="A95" s="1950"/>
      <c r="B95" s="1971"/>
      <c r="C95" s="1951"/>
      <c r="D95" s="1949"/>
      <c r="E95" s="1968">
        <f t="shared" si="6"/>
        <v>0</v>
      </c>
      <c r="F95" s="1968" t="str">
        <f t="shared" si="7"/>
        <v>0</v>
      </c>
    </row>
    <row r="96" spans="1:6" x14ac:dyDescent="0.25">
      <c r="A96" s="1950"/>
      <c r="B96" s="1971"/>
      <c r="C96" s="1951"/>
      <c r="D96" s="1949"/>
      <c r="E96" s="1968">
        <f t="shared" si="6"/>
        <v>0</v>
      </c>
      <c r="F96" s="1968" t="str">
        <f t="shared" si="7"/>
        <v>0</v>
      </c>
    </row>
    <row r="97" spans="1:6" x14ac:dyDescent="0.25">
      <c r="A97" s="1950"/>
      <c r="B97" s="1971"/>
      <c r="C97" s="1951"/>
      <c r="D97" s="1949"/>
      <c r="E97" s="1968">
        <f t="shared" si="6"/>
        <v>0</v>
      </c>
      <c r="F97" s="1968" t="str">
        <f t="shared" si="7"/>
        <v>0</v>
      </c>
    </row>
    <row r="98" spans="1:6" x14ac:dyDescent="0.25">
      <c r="A98" s="1950"/>
      <c r="B98" s="1971"/>
      <c r="C98" s="1951"/>
      <c r="D98" s="1949"/>
      <c r="E98" s="1968">
        <f t="shared" si="6"/>
        <v>0</v>
      </c>
      <c r="F98" s="1968" t="str">
        <f t="shared" si="7"/>
        <v>0</v>
      </c>
    </row>
    <row r="99" spans="1:6" x14ac:dyDescent="0.25">
      <c r="A99" s="1950"/>
      <c r="B99" s="1971"/>
      <c r="C99" s="1951"/>
      <c r="D99" s="1949"/>
      <c r="E99" s="1968">
        <f t="shared" si="6"/>
        <v>0</v>
      </c>
      <c r="F99" s="1968" t="str">
        <f t="shared" si="7"/>
        <v>0</v>
      </c>
    </row>
    <row r="100" spans="1:6" x14ac:dyDescent="0.25">
      <c r="A100" s="1950"/>
      <c r="B100" s="1971"/>
      <c r="C100" s="1951"/>
      <c r="D100" s="1949"/>
      <c r="E100" s="1968">
        <f t="shared" si="6"/>
        <v>0</v>
      </c>
      <c r="F100" s="1968" t="str">
        <f t="shared" si="7"/>
        <v>0</v>
      </c>
    </row>
    <row r="101" spans="1:6" x14ac:dyDescent="0.25">
      <c r="A101" s="1950"/>
      <c r="B101" s="1971"/>
      <c r="C101" s="1951"/>
      <c r="D101" s="1949"/>
      <c r="E101" s="1968">
        <f t="shared" si="6"/>
        <v>0</v>
      </c>
      <c r="F101" s="1968" t="str">
        <f t="shared" si="7"/>
        <v>0</v>
      </c>
    </row>
    <row r="102" spans="1:6" x14ac:dyDescent="0.25">
      <c r="A102" s="1950"/>
      <c r="B102" s="1971"/>
      <c r="C102" s="1951"/>
      <c r="D102" s="1949"/>
      <c r="E102" s="1968">
        <f t="shared" si="6"/>
        <v>0</v>
      </c>
      <c r="F102" s="1968" t="str">
        <f t="shared" si="7"/>
        <v>0</v>
      </c>
    </row>
    <row r="103" spans="1:6" x14ac:dyDescent="0.25">
      <c r="A103" s="1950"/>
      <c r="B103" s="1971"/>
      <c r="C103" s="1951"/>
      <c r="D103" s="1949"/>
      <c r="E103" s="1968">
        <f t="shared" si="6"/>
        <v>0</v>
      </c>
      <c r="F103" s="1968" t="str">
        <f t="shared" si="7"/>
        <v>0</v>
      </c>
    </row>
    <row r="104" spans="1:6" x14ac:dyDescent="0.25">
      <c r="A104" s="1950"/>
      <c r="B104" s="1971"/>
      <c r="C104" s="1951"/>
      <c r="D104" s="1949"/>
      <c r="E104" s="1968">
        <f t="shared" si="6"/>
        <v>0</v>
      </c>
      <c r="F104" s="1968" t="str">
        <f t="shared" si="7"/>
        <v>0</v>
      </c>
    </row>
    <row r="105" spans="1:6" x14ac:dyDescent="0.25">
      <c r="A105" s="1950"/>
      <c r="B105" s="1971"/>
      <c r="C105" s="1951"/>
      <c r="D105" s="1949"/>
      <c r="E105" s="1968">
        <f t="shared" si="6"/>
        <v>0</v>
      </c>
      <c r="F105" s="1968" t="str">
        <f t="shared" si="7"/>
        <v>0</v>
      </c>
    </row>
    <row r="106" spans="1:6" x14ac:dyDescent="0.25">
      <c r="A106" s="1950"/>
      <c r="B106" s="1971"/>
      <c r="C106" s="1951"/>
      <c r="D106" s="1949"/>
      <c r="E106" s="1968">
        <f t="shared" si="6"/>
        <v>0</v>
      </c>
      <c r="F106" s="1968" t="str">
        <f t="shared" si="7"/>
        <v>0</v>
      </c>
    </row>
    <row r="107" spans="1:6" x14ac:dyDescent="0.25">
      <c r="A107" s="1950"/>
      <c r="B107" s="1971"/>
      <c r="C107" s="1951"/>
      <c r="D107" s="1949"/>
      <c r="E107" s="1968">
        <f t="shared" si="6"/>
        <v>0</v>
      </c>
      <c r="F107" s="1968" t="str">
        <f t="shared" si="7"/>
        <v>0</v>
      </c>
    </row>
    <row r="108" spans="1:6" x14ac:dyDescent="0.25">
      <c r="A108" s="1950"/>
      <c r="B108" s="1971"/>
      <c r="C108" s="1951"/>
      <c r="D108" s="1949"/>
      <c r="E108" s="1968">
        <f t="shared" si="6"/>
        <v>0</v>
      </c>
      <c r="F108" s="1968" t="str">
        <f t="shared" si="7"/>
        <v>0</v>
      </c>
    </row>
    <row r="109" spans="1:6" x14ac:dyDescent="0.25">
      <c r="A109" s="1950"/>
      <c r="B109" s="1971"/>
      <c r="C109" s="1951"/>
      <c r="D109" s="1949"/>
      <c r="E109" s="1968">
        <f t="shared" si="6"/>
        <v>0</v>
      </c>
      <c r="F109" s="1968" t="str">
        <f t="shared" si="7"/>
        <v>0</v>
      </c>
    </row>
    <row r="110" spans="1:6" x14ac:dyDescent="0.25">
      <c r="A110" s="1950"/>
      <c r="B110" s="1971"/>
      <c r="C110" s="1951"/>
      <c r="D110" s="1949"/>
      <c r="E110" s="1968">
        <f t="shared" si="6"/>
        <v>0</v>
      </c>
      <c r="F110" s="1968" t="str">
        <f t="shared" si="7"/>
        <v>0</v>
      </c>
    </row>
    <row r="111" spans="1:6" x14ac:dyDescent="0.25">
      <c r="A111" s="1950"/>
      <c r="B111" s="1971"/>
      <c r="C111" s="1951"/>
      <c r="D111" s="1949"/>
      <c r="E111" s="1968">
        <f t="shared" si="6"/>
        <v>0</v>
      </c>
      <c r="F111" s="1968" t="str">
        <f t="shared" si="7"/>
        <v>0</v>
      </c>
    </row>
    <row r="112" spans="1:6" x14ac:dyDescent="0.25">
      <c r="A112" s="1950"/>
      <c r="B112" s="1971"/>
      <c r="C112" s="1951"/>
      <c r="D112" s="1949"/>
      <c r="E112" s="1968">
        <f t="shared" si="6"/>
        <v>0</v>
      </c>
      <c r="F112" s="1968" t="str">
        <f t="shared" si="7"/>
        <v>0</v>
      </c>
    </row>
    <row r="113" spans="1:6" x14ac:dyDescent="0.25">
      <c r="A113" s="1950"/>
      <c r="B113" s="1971"/>
      <c r="C113" s="1951"/>
      <c r="D113" s="1949"/>
      <c r="E113" s="1968">
        <f t="shared" si="6"/>
        <v>0</v>
      </c>
      <c r="F113" s="1968" t="str">
        <f t="shared" si="7"/>
        <v>0</v>
      </c>
    </row>
    <row r="114" spans="1:6" x14ac:dyDescent="0.25">
      <c r="A114" s="1950"/>
      <c r="B114" s="1971"/>
      <c r="C114" s="1951"/>
      <c r="D114" s="1949"/>
      <c r="E114" s="1968">
        <f t="shared" si="6"/>
        <v>0</v>
      </c>
      <c r="F114" s="1968" t="str">
        <f t="shared" si="7"/>
        <v>0</v>
      </c>
    </row>
    <row r="115" spans="1:6" x14ac:dyDescent="0.25">
      <c r="A115" s="1950"/>
      <c r="B115" s="1971"/>
      <c r="C115" s="1951"/>
      <c r="D115" s="1949"/>
      <c r="E115" s="1968">
        <f t="shared" si="6"/>
        <v>0</v>
      </c>
      <c r="F115" s="1968" t="str">
        <f t="shared" si="7"/>
        <v>0</v>
      </c>
    </row>
    <row r="116" spans="1:6" x14ac:dyDescent="0.25">
      <c r="A116" s="1950"/>
      <c r="B116" s="1971"/>
      <c r="C116" s="1951"/>
      <c r="D116" s="1949"/>
      <c r="E116" s="1968">
        <f t="shared" si="6"/>
        <v>0</v>
      </c>
      <c r="F116" s="1968" t="str">
        <f t="shared" si="7"/>
        <v>0</v>
      </c>
    </row>
    <row r="117" spans="1:6" x14ac:dyDescent="0.25">
      <c r="A117" s="1950"/>
      <c r="B117" s="1971"/>
      <c r="C117" s="1951"/>
      <c r="D117" s="1949"/>
      <c r="E117" s="1968">
        <f t="shared" si="6"/>
        <v>0</v>
      </c>
      <c r="F117" s="1968" t="str">
        <f t="shared" si="7"/>
        <v>0</v>
      </c>
    </row>
    <row r="118" spans="1:6" x14ac:dyDescent="0.25">
      <c r="A118" s="1950"/>
      <c r="B118" s="1971"/>
      <c r="C118" s="1951"/>
      <c r="D118" s="1949"/>
      <c r="E118" s="1968">
        <f t="shared" si="6"/>
        <v>0</v>
      </c>
      <c r="F118" s="1968" t="str">
        <f t="shared" si="7"/>
        <v>0</v>
      </c>
    </row>
    <row r="119" spans="1:6" x14ac:dyDescent="0.25">
      <c r="A119" s="1950"/>
      <c r="B119" s="1971"/>
      <c r="C119" s="1951"/>
      <c r="D119" s="1949"/>
      <c r="E119" s="1968">
        <f t="shared" si="6"/>
        <v>0</v>
      </c>
      <c r="F119" s="1968" t="str">
        <f t="shared" si="7"/>
        <v>0</v>
      </c>
    </row>
    <row r="120" spans="1:6" x14ac:dyDescent="0.25">
      <c r="A120" s="1950"/>
      <c r="B120" s="1971"/>
      <c r="C120" s="1951"/>
      <c r="D120" s="1949"/>
      <c r="E120" s="1968">
        <f t="shared" si="6"/>
        <v>0</v>
      </c>
      <c r="F120" s="1968" t="str">
        <f t="shared" si="7"/>
        <v>0</v>
      </c>
    </row>
    <row r="121" spans="1:6" x14ac:dyDescent="0.25">
      <c r="A121" s="1950"/>
      <c r="B121" s="1971"/>
      <c r="C121" s="1951"/>
      <c r="D121" s="1949"/>
      <c r="E121" s="1968">
        <f t="shared" si="6"/>
        <v>0</v>
      </c>
      <c r="F121" s="1968" t="str">
        <f t="shared" si="7"/>
        <v>0</v>
      </c>
    </row>
    <row r="122" spans="1:6" x14ac:dyDescent="0.25">
      <c r="A122" s="1950"/>
      <c r="B122" s="1971"/>
      <c r="C122" s="1951"/>
      <c r="D122" s="1949"/>
      <c r="E122" s="1968">
        <f t="shared" si="6"/>
        <v>0</v>
      </c>
      <c r="F122" s="1968" t="str">
        <f t="shared" si="7"/>
        <v>0</v>
      </c>
    </row>
    <row r="123" spans="1:6" x14ac:dyDescent="0.25">
      <c r="A123" s="1950"/>
      <c r="B123" s="1971"/>
      <c r="C123" s="1951"/>
      <c r="D123" s="1949"/>
      <c r="E123" s="1968">
        <f t="shared" si="6"/>
        <v>0</v>
      </c>
      <c r="F123" s="1968" t="str">
        <f t="shared" si="7"/>
        <v>0</v>
      </c>
    </row>
    <row r="124" spans="1:6" x14ac:dyDescent="0.25">
      <c r="A124" s="1950"/>
      <c r="B124" s="1971"/>
      <c r="C124" s="1951"/>
      <c r="D124" s="1949"/>
      <c r="E124" s="1968">
        <f t="shared" si="6"/>
        <v>0</v>
      </c>
      <c r="F124" s="1968" t="str">
        <f t="shared" si="7"/>
        <v>0</v>
      </c>
    </row>
    <row r="125" spans="1:6" x14ac:dyDescent="0.25">
      <c r="A125" s="1950"/>
      <c r="B125" s="1971"/>
      <c r="C125" s="1951"/>
      <c r="D125" s="1949"/>
      <c r="E125" s="1968">
        <f t="shared" si="6"/>
        <v>0</v>
      </c>
      <c r="F125" s="1968" t="str">
        <f t="shared" si="7"/>
        <v>0</v>
      </c>
    </row>
    <row r="126" spans="1:6" x14ac:dyDescent="0.25">
      <c r="A126" s="1950"/>
      <c r="B126" s="1971"/>
      <c r="C126" s="1951"/>
      <c r="D126" s="1949"/>
      <c r="E126" s="1968">
        <f t="shared" si="6"/>
        <v>0</v>
      </c>
      <c r="F126" s="1968" t="str">
        <f t="shared" si="7"/>
        <v>0</v>
      </c>
    </row>
    <row r="127" spans="1:6" x14ac:dyDescent="0.25">
      <c r="A127" s="1950"/>
      <c r="B127" s="1971"/>
      <c r="C127" s="1951"/>
      <c r="D127" s="1949"/>
      <c r="E127" s="1968">
        <f t="shared" si="6"/>
        <v>0</v>
      </c>
      <c r="F127" s="1968" t="str">
        <f t="shared" si="7"/>
        <v>0</v>
      </c>
    </row>
    <row r="128" spans="1:6" x14ac:dyDescent="0.25">
      <c r="A128" s="1950"/>
      <c r="B128" s="1971"/>
      <c r="C128" s="1951"/>
      <c r="D128" s="1949"/>
      <c r="E128" s="1968">
        <f t="shared" si="6"/>
        <v>0</v>
      </c>
      <c r="F128" s="1968" t="str">
        <f t="shared" si="7"/>
        <v>0</v>
      </c>
    </row>
    <row r="129" spans="1:6" x14ac:dyDescent="0.25">
      <c r="A129" s="1950"/>
      <c r="B129" s="1971"/>
      <c r="C129" s="1951"/>
      <c r="D129" s="1949"/>
      <c r="E129" s="1968">
        <f t="shared" si="6"/>
        <v>0</v>
      </c>
      <c r="F129" s="1968" t="str">
        <f t="shared" si="7"/>
        <v>0</v>
      </c>
    </row>
    <row r="130" spans="1:6" x14ac:dyDescent="0.25">
      <c r="A130" s="1950"/>
      <c r="B130" s="1971"/>
      <c r="C130" s="1951"/>
      <c r="D130" s="1949"/>
      <c r="E130" s="1968">
        <f t="shared" si="6"/>
        <v>0</v>
      </c>
      <c r="F130" s="1968" t="str">
        <f t="shared" si="7"/>
        <v>0</v>
      </c>
    </row>
    <row r="131" spans="1:6" x14ac:dyDescent="0.25">
      <c r="A131" s="1950"/>
      <c r="B131" s="1971"/>
      <c r="C131" s="1951"/>
      <c r="D131" s="1949"/>
      <c r="E131" s="1968">
        <f t="shared" si="6"/>
        <v>0</v>
      </c>
      <c r="F131" s="1968" t="str">
        <f t="shared" si="7"/>
        <v>0</v>
      </c>
    </row>
    <row r="132" spans="1:6" x14ac:dyDescent="0.25">
      <c r="A132" s="1950"/>
      <c r="B132" s="1971"/>
      <c r="C132" s="1951"/>
      <c r="D132" s="1949"/>
      <c r="E132" s="1968">
        <f t="shared" si="6"/>
        <v>0</v>
      </c>
      <c r="F132" s="1968" t="str">
        <f t="shared" si="7"/>
        <v>0</v>
      </c>
    </row>
    <row r="133" spans="1:6" x14ac:dyDescent="0.25">
      <c r="A133" s="1950"/>
      <c r="B133" s="1971"/>
      <c r="C133" s="1951"/>
      <c r="D133" s="1949"/>
      <c r="E133" s="1968">
        <f t="shared" si="6"/>
        <v>0</v>
      </c>
      <c r="F133" s="1968" t="str">
        <f t="shared" si="7"/>
        <v>0</v>
      </c>
    </row>
    <row r="134" spans="1:6" x14ac:dyDescent="0.25">
      <c r="A134" s="1950"/>
      <c r="B134" s="1971"/>
      <c r="C134" s="1951"/>
      <c r="D134" s="1949"/>
      <c r="E134" s="1968">
        <f t="shared" si="6"/>
        <v>0</v>
      </c>
      <c r="F134" s="1968" t="str">
        <f t="shared" si="7"/>
        <v>0</v>
      </c>
    </row>
    <row r="135" spans="1:6" x14ac:dyDescent="0.25">
      <c r="A135" s="1950"/>
      <c r="B135" s="1971"/>
      <c r="C135" s="1951"/>
      <c r="D135" s="1949"/>
      <c r="E135" s="1968">
        <f t="shared" si="6"/>
        <v>0</v>
      </c>
      <c r="F135" s="1968" t="str">
        <f t="shared" si="7"/>
        <v>0</v>
      </c>
    </row>
    <row r="136" spans="1:6" x14ac:dyDescent="0.25">
      <c r="A136" s="1950"/>
      <c r="B136" s="1971"/>
      <c r="C136" s="1951"/>
      <c r="D136" s="1949"/>
      <c r="E136" s="1968">
        <f t="shared" si="6"/>
        <v>0</v>
      </c>
      <c r="F136" s="1968" t="str">
        <f t="shared" si="7"/>
        <v>0</v>
      </c>
    </row>
    <row r="137" spans="1:6" x14ac:dyDescent="0.25">
      <c r="A137" s="1950"/>
      <c r="B137" s="1971"/>
      <c r="C137" s="1951"/>
      <c r="D137" s="1949"/>
      <c r="E137" s="1968">
        <f t="shared" si="6"/>
        <v>0</v>
      </c>
      <c r="F137" s="1968" t="str">
        <f t="shared" si="7"/>
        <v>0</v>
      </c>
    </row>
    <row r="138" spans="1:6" x14ac:dyDescent="0.25">
      <c r="A138" s="1950"/>
      <c r="B138" s="1971"/>
      <c r="C138" s="1951"/>
      <c r="D138" s="1949"/>
      <c r="E138" s="1968">
        <f t="shared" si="6"/>
        <v>0</v>
      </c>
      <c r="F138" s="1968" t="str">
        <f t="shared" si="7"/>
        <v>0</v>
      </c>
    </row>
    <row r="139" spans="1:6" x14ac:dyDescent="0.25">
      <c r="A139" s="1950"/>
      <c r="B139" s="1971"/>
      <c r="C139" s="1951"/>
      <c r="D139" s="1949"/>
      <c r="E139" s="1968">
        <f t="shared" si="6"/>
        <v>0</v>
      </c>
      <c r="F139" s="1968" t="str">
        <f t="shared" si="7"/>
        <v>0</v>
      </c>
    </row>
    <row r="140" spans="1:6" x14ac:dyDescent="0.25">
      <c r="A140" s="1950"/>
      <c r="B140" s="1971"/>
      <c r="C140" s="1951"/>
      <c r="D140" s="1949"/>
      <c r="E140" s="1968">
        <f t="shared" si="6"/>
        <v>0</v>
      </c>
      <c r="F140" s="1968" t="str">
        <f t="shared" si="7"/>
        <v>0</v>
      </c>
    </row>
    <row r="141" spans="1:6" x14ac:dyDescent="0.25">
      <c r="A141" s="1950"/>
      <c r="B141" s="1971"/>
      <c r="C141" s="1951"/>
      <c r="D141" s="1949"/>
      <c r="E141" s="1968">
        <f t="shared" si="6"/>
        <v>0</v>
      </c>
      <c r="F141" s="1968" t="str">
        <f t="shared" si="7"/>
        <v>0</v>
      </c>
    </row>
    <row r="142" spans="1:6" x14ac:dyDescent="0.25">
      <c r="A142" s="1950"/>
      <c r="B142" s="1972"/>
      <c r="C142" s="1951"/>
      <c r="D142" s="1949"/>
      <c r="E142" s="1968">
        <f t="shared" si="6"/>
        <v>0</v>
      </c>
      <c r="F142" s="1968" t="str">
        <f t="shared" si="7"/>
        <v>0</v>
      </c>
    </row>
    <row r="143" spans="1:6" x14ac:dyDescent="0.25">
      <c r="A143" s="1952" t="s">
        <v>155</v>
      </c>
      <c r="B143" s="1973"/>
      <c r="C143" s="1953"/>
      <c r="D143" s="1954">
        <f>SUM(D18:D142)</f>
        <v>155477</v>
      </c>
      <c r="E143" s="1955">
        <f>SUM(E18:E142)</f>
        <v>50990</v>
      </c>
      <c r="F143" s="1956">
        <f>SUM(F18:F142)</f>
        <v>54487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xWindow="452" yWindow="769"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1" t="s">
        <v>1663</v>
      </c>
      <c r="B5" s="2462"/>
      <c r="C5" s="2462"/>
      <c r="D5" s="2462"/>
      <c r="E5" s="2462"/>
      <c r="F5" s="2462"/>
      <c r="G5" s="2463"/>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v>60442</v>
      </c>
      <c r="F10" s="805"/>
      <c r="G10" s="806"/>
      <c r="H10" s="157"/>
      <c r="I10" s="157"/>
    </row>
    <row r="11" spans="1:13" s="542" customFormat="1" ht="22.5" customHeight="1" x14ac:dyDescent="0.2">
      <c r="A11" s="246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7"/>
      <c r="C11" s="2467"/>
      <c r="D11" s="2468"/>
      <c r="E11" s="1851">
        <v>19180</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2842286</v>
      </c>
      <c r="F19" s="1852"/>
      <c r="G19" s="1854">
        <f>'Expenditures 15-22'!K33-SUM('Expenditures 15-22'!G33,'Expenditures 15-22'!I33)+'Expenditures 15-22'!D229</f>
        <v>2842286</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248986</v>
      </c>
      <c r="F21" s="1855"/>
      <c r="G21" s="1858">
        <f>'Expenditures 15-22'!K42-SUM('Expenditures 15-22'!G42,'Expenditures 15-22'!I42)+'Expenditures 15-22'!K120-SUM('Expenditures 15-22'!G120,'Expenditures 15-22'!I120)+'Expenditures 15-22'!K180-SUM('Expenditures 15-22'!G180,'Expenditures 15-22'!I180)+'Expenditures 15-22'!D238</f>
        <v>248986</v>
      </c>
      <c r="H21" s="817"/>
      <c r="I21" s="157"/>
    </row>
    <row r="22" spans="1:9" s="542" customFormat="1" ht="12" customHeight="1" x14ac:dyDescent="0.2">
      <c r="A22" s="824" t="s">
        <v>560</v>
      </c>
      <c r="B22" s="825"/>
      <c r="C22" s="823">
        <v>2200</v>
      </c>
      <c r="D22" s="1855"/>
      <c r="E22" s="1857">
        <f>'Expenditures 15-22'!K47-SUM('Expenditures 15-22'!G47,'Expenditures 15-22'!I47)+'Expenditures 15-22'!D243</f>
        <v>59707</v>
      </c>
      <c r="F22" s="1855"/>
      <c r="G22" s="1858">
        <f>'Expenditures 15-22'!K47-SUM('Expenditures 15-22'!G47,'Expenditures 15-22'!I47)+'Expenditures 15-22'!D243</f>
        <v>59707</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382804</v>
      </c>
      <c r="F23" s="1855"/>
      <c r="G23" s="1857">
        <f>'Expenditures 15-22'!K53-SUM('Expenditures 15-22'!G53,'Expenditures 15-22'!I53)+'Expenditures 15-22'!D257+'Expenditures 15-22'!K330-SUM('Expenditures 15-22'!G330,'Expenditures 15-22'!I330)</f>
        <v>382804</v>
      </c>
      <c r="H23" s="817"/>
      <c r="I23" s="157"/>
    </row>
    <row r="24" spans="1:9" s="542" customFormat="1" ht="12" customHeight="1" x14ac:dyDescent="0.2">
      <c r="A24" s="824" t="s">
        <v>562</v>
      </c>
      <c r="B24" s="825"/>
      <c r="C24" s="823">
        <v>2400</v>
      </c>
      <c r="D24" s="1855"/>
      <c r="E24" s="1857">
        <f>'Expenditures 15-22'!K57-SUM('Expenditures 15-22'!G57,'Expenditures 15-22'!I57)+'Expenditures 15-22'!D261</f>
        <v>246145</v>
      </c>
      <c r="F24" s="1855"/>
      <c r="G24" s="1858">
        <f>'Expenditures 15-22'!K57-SUM('Expenditures 15-22'!G57,'Expenditures 15-22'!I57)+'Expenditures 15-22'!D261</f>
        <v>246145</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103491</v>
      </c>
      <c r="E27" s="1857">
        <f>E8</f>
        <v>0</v>
      </c>
      <c r="F27" s="1857">
        <f>'Expenditures 15-22'!K60-SUM('Expenditures 15-22'!G60,'Expenditures 15-22'!I60)+'Expenditures 15-22'!D264-E8</f>
        <v>103491</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413239</v>
      </c>
      <c r="F28" s="1859">
        <f>'Expenditures 15-22'!K61-SUM('Expenditures 15-22'!G61,'Expenditures 15-22'!I61)+'Expenditures 15-22'!K124-SUM('Expenditures 15-22'!G124,'Expenditures 15-22'!I124)+'Expenditures 15-22'!D266-E9</f>
        <v>413239</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158276</v>
      </c>
      <c r="F29" s="1855"/>
      <c r="G29" s="1858">
        <f>'Expenditures 15-22'!K62-SUM('Expenditures 15-22'!G62,'Expenditures 15-22'!I62)+'Expenditures 15-22'!K125-SUM('Expenditures 15-22'!G125,'Expenditures 15-22'!I125)+'Expenditures 15-22'!K182-SUM('Expenditures 15-22'!G182,'Expenditures 15-22'!I182)+'Expenditures 15-22'!D267</f>
        <v>158276</v>
      </c>
      <c r="H29" s="815"/>
    </row>
    <row r="30" spans="1:9" ht="12" customHeight="1" x14ac:dyDescent="0.2">
      <c r="A30" s="824" t="s">
        <v>100</v>
      </c>
      <c r="B30" s="827"/>
      <c r="C30" s="823">
        <v>2560</v>
      </c>
      <c r="D30" s="1855"/>
      <c r="E30" s="1857">
        <f>'Expenditures 15-22'!K63-SUM('Expenditures 15-22'!G63,'Expenditures 15-22'!I63)+'Expenditures 15-22'!D268-E10</f>
        <v>122938</v>
      </c>
      <c r="F30" s="1855"/>
      <c r="G30" s="1857">
        <f>'Expenditures 15-22'!K63-SUM('Expenditures 15-22'!G63,'Expenditures 15-22'!I63)+'Expenditures 15-22'!D268-E10</f>
        <v>122938</v>
      </c>
    </row>
    <row r="31" spans="1:9" ht="12" customHeight="1" x14ac:dyDescent="0.2">
      <c r="A31" s="824" t="s">
        <v>101</v>
      </c>
      <c r="B31" s="827"/>
      <c r="C31" s="823">
        <v>2570</v>
      </c>
      <c r="D31" s="1857">
        <f>'Expenditures 15-22'!K64-SUM('Expenditures 15-22'!G64,'Expenditures 15-22'!I64)+'Expenditures 15-22'!D269-E12</f>
        <v>17632</v>
      </c>
      <c r="E31" s="1857">
        <f>E12</f>
        <v>0</v>
      </c>
      <c r="F31" s="1857">
        <f>'Expenditures 15-22'!K64-SUM('Expenditures 15-22'!G64,'Expenditures 15-22'!I64)+'Expenditures 15-22'!D269-E12</f>
        <v>17632</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139054</v>
      </c>
      <c r="E37" s="1857">
        <f>E14</f>
        <v>0</v>
      </c>
      <c r="F37" s="1857">
        <f>'Expenditures 15-22'!K71-SUM('Expenditures 15-22'!G71,'Expenditures 15-22'!I71)+'Expenditures 15-22'!D276-E14</f>
        <v>139054</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35669</v>
      </c>
      <c r="F39" s="1855"/>
      <c r="G39" s="1857">
        <f>'Expenditures 15-22'!K75-SUM('Expenditures 15-22'!G75,'Expenditures 15-22'!I75)+'Expenditures 15-22'!K130-SUM('Expenditures 15-22'!G130,'Expenditures 15-22'!I130)+'Expenditures 15-22'!K185-SUM('Expenditures 15-22'!G185,'Expenditures 15-22'!I185)+'Expenditures 15-22'!D280</f>
        <v>35669</v>
      </c>
    </row>
    <row r="40" spans="1:7" ht="12" customHeight="1" x14ac:dyDescent="0.2">
      <c r="A40" s="820" t="s">
        <v>1801</v>
      </c>
      <c r="B40" s="821"/>
      <c r="C40" s="823"/>
      <c r="D40" s="1855"/>
      <c r="E40" s="1859">
        <f>-'Contracts Paid in CY 29'!F143</f>
        <v>-54487</v>
      </c>
      <c r="F40" s="1855"/>
      <c r="G40" s="1859">
        <f>-'Contracts Paid in CY 29'!F143</f>
        <v>-54487</v>
      </c>
    </row>
    <row r="41" spans="1:7" ht="12" customHeight="1" x14ac:dyDescent="0.2">
      <c r="A41" s="828" t="s">
        <v>155</v>
      </c>
      <c r="B41" s="829"/>
      <c r="C41" s="830"/>
      <c r="D41" s="1859">
        <f>SUM(D19:D39)</f>
        <v>260177</v>
      </c>
      <c r="E41" s="1859">
        <f>SUM(E19:E40)</f>
        <v>4455563</v>
      </c>
      <c r="F41" s="1859">
        <f>SUM(F19:F39)</f>
        <v>673416</v>
      </c>
      <c r="G41" s="1859">
        <f>SUM(G19:G40)</f>
        <v>4042324</v>
      </c>
    </row>
    <row r="42" spans="1:7" x14ac:dyDescent="0.2">
      <c r="A42" s="817"/>
      <c r="B42" s="157"/>
      <c r="C42" s="831"/>
      <c r="D42" s="2464" t="s">
        <v>519</v>
      </c>
      <c r="E42" s="2465"/>
      <c r="F42" s="832" t="s">
        <v>520</v>
      </c>
      <c r="G42" s="833"/>
    </row>
    <row r="43" spans="1:7" ht="12" customHeight="1" x14ac:dyDescent="0.2">
      <c r="A43" s="817"/>
      <c r="B43" s="157"/>
      <c r="C43" s="831"/>
      <c r="D43" s="1507" t="s">
        <v>470</v>
      </c>
      <c r="E43" s="1860">
        <f>D41</f>
        <v>260177</v>
      </c>
      <c r="F43" s="1507" t="s">
        <v>470</v>
      </c>
      <c r="G43" s="1860">
        <f>F41</f>
        <v>673416</v>
      </c>
    </row>
    <row r="44" spans="1:7" ht="12" customHeight="1" x14ac:dyDescent="0.2">
      <c r="A44" s="817"/>
      <c r="B44" s="157"/>
      <c r="C44" s="831"/>
      <c r="D44" s="1507" t="s">
        <v>471</v>
      </c>
      <c r="E44" s="1860">
        <f>E41</f>
        <v>4455563</v>
      </c>
      <c r="F44" s="1507" t="s">
        <v>471</v>
      </c>
      <c r="G44" s="1860">
        <f>G41</f>
        <v>4042324</v>
      </c>
    </row>
    <row r="45" spans="1:7" ht="12" customHeight="1" x14ac:dyDescent="0.2">
      <c r="A45" s="817"/>
      <c r="B45" s="157"/>
      <c r="C45" s="157"/>
      <c r="D45" s="1508" t="s">
        <v>999</v>
      </c>
      <c r="E45" s="1861">
        <f>(E43/E44)</f>
        <v>5.8393742833397259E-2</v>
      </c>
      <c r="F45" s="1508" t="s">
        <v>999</v>
      </c>
      <c r="G45" s="1861">
        <f>(G43/G44)</f>
        <v>0.16659129748134985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topLeftCell="A28" zoomScale="110" zoomScaleNormal="110" workbookViewId="0">
      <selection activeCell="F31" sqref="F31"/>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72" t="s">
        <v>1365</v>
      </c>
      <c r="B1" s="2472"/>
      <c r="C1" s="2472"/>
      <c r="D1" s="2472"/>
      <c r="E1" s="2472"/>
      <c r="F1" s="2472"/>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3" t="s">
        <v>1532</v>
      </c>
      <c r="B5" s="2474"/>
      <c r="C5" s="2475"/>
      <c r="D5" s="2475"/>
      <c r="E5" s="2475"/>
      <c r="F5" s="2475"/>
      <c r="G5" s="1556"/>
      <c r="L5" s="1556"/>
      <c r="M5" s="1913"/>
      <c r="N5" s="1913"/>
      <c r="O5" s="1913"/>
    </row>
    <row r="6" spans="1:15" ht="12" customHeight="1" x14ac:dyDescent="0.25">
      <c r="A6" s="1529"/>
      <c r="B6" s="1530"/>
      <c r="C6" s="2476" t="str">
        <f>COVER!A17</f>
        <v>Earlville CUSD 9</v>
      </c>
      <c r="D6" s="2476"/>
      <c r="E6" s="2476"/>
      <c r="F6" s="1531"/>
      <c r="G6" s="1556"/>
      <c r="L6" s="1556"/>
      <c r="M6" s="1913"/>
      <c r="N6" s="1913"/>
      <c r="O6" s="1913"/>
    </row>
    <row r="7" spans="1:15" ht="11.25" customHeight="1" thickBot="1" x14ac:dyDescent="0.3">
      <c r="A7" s="1529"/>
      <c r="B7" s="1530"/>
      <c r="C7" s="2477">
        <f>COVER!A13</f>
        <v>35050009026</v>
      </c>
      <c r="D7" s="2477"/>
      <c r="E7" s="2477"/>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t="s">
        <v>2050</v>
      </c>
      <c r="D16" s="1544" t="s">
        <v>2050</v>
      </c>
      <c r="E16" s="1547"/>
      <c r="F16" s="1546" t="s">
        <v>2051</v>
      </c>
      <c r="G16" s="1556"/>
      <c r="H16" s="1556">
        <f t="shared" si="0"/>
        <v>5</v>
      </c>
      <c r="I16" s="1556">
        <f t="shared" si="1"/>
        <v>5</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2050</v>
      </c>
      <c r="D26" s="1544" t="s">
        <v>2050</v>
      </c>
      <c r="E26" s="1547"/>
      <c r="F26" s="1546" t="s">
        <v>2052</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t="s">
        <v>2050</v>
      </c>
      <c r="D31" s="1544" t="s">
        <v>2050</v>
      </c>
      <c r="E31" s="1547"/>
      <c r="F31" s="1546" t="s">
        <v>2053</v>
      </c>
      <c r="G31" s="1556"/>
      <c r="H31" s="1556">
        <f t="shared" si="0"/>
        <v>5</v>
      </c>
      <c r="I31" s="1556">
        <f t="shared" si="1"/>
        <v>5</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15</v>
      </c>
      <c r="I34" s="1556">
        <f>SUM(I11:I32)</f>
        <v>15</v>
      </c>
      <c r="J34" s="1556">
        <f>SUM(J11:J32)</f>
        <v>0</v>
      </c>
      <c r="K34" s="1556">
        <f>SUM(H34:J34)</f>
        <v>30</v>
      </c>
      <c r="L34" s="1556"/>
      <c r="M34" s="1913"/>
      <c r="N34" s="1913"/>
      <c r="O34" s="1913"/>
    </row>
    <row r="35" spans="1:15" ht="12" customHeight="1" x14ac:dyDescent="0.2">
      <c r="A35" s="1549" t="s">
        <v>1378</v>
      </c>
      <c r="B35" s="1550"/>
      <c r="C35" s="2478"/>
      <c r="D35" s="2478"/>
      <c r="E35" s="2478"/>
      <c r="F35" s="2479"/>
    </row>
    <row r="36" spans="1:15" ht="12" customHeight="1" x14ac:dyDescent="0.2">
      <c r="A36" s="2469"/>
      <c r="B36" s="2470"/>
      <c r="C36" s="2470"/>
      <c r="D36" s="2470"/>
      <c r="E36" s="2470"/>
      <c r="F36" s="2471"/>
    </row>
    <row r="37" spans="1:15" ht="12" customHeight="1" x14ac:dyDescent="0.2">
      <c r="A37" s="2469"/>
      <c r="B37" s="2470"/>
      <c r="C37" s="2470"/>
      <c r="D37" s="2470"/>
      <c r="E37" s="2470"/>
      <c r="F37" s="2471"/>
    </row>
    <row r="38" spans="1:15" ht="12" customHeight="1" x14ac:dyDescent="0.2">
      <c r="A38" s="2483"/>
      <c r="B38" s="2484"/>
      <c r="C38" s="2484"/>
      <c r="D38" s="2484"/>
      <c r="E38" s="2484"/>
      <c r="F38" s="2485"/>
    </row>
    <row r="39" spans="1:15" ht="4.5" hidden="1" customHeight="1" x14ac:dyDescent="0.2">
      <c r="A39" s="1551"/>
      <c r="B39" s="1551"/>
      <c r="C39" s="1551"/>
      <c r="D39" s="1551"/>
      <c r="E39" s="1551"/>
      <c r="F39" s="1551"/>
    </row>
    <row r="40" spans="1:15" s="1548" customFormat="1" ht="12" customHeight="1" x14ac:dyDescent="0.25">
      <c r="A40" s="1552" t="s">
        <v>1377</v>
      </c>
      <c r="B40" s="1553"/>
      <c r="C40" s="2486"/>
      <c r="D40" s="2486"/>
      <c r="E40" s="2486"/>
      <c r="F40" s="2487"/>
      <c r="H40" s="1557"/>
      <c r="I40" s="1557"/>
      <c r="J40" s="1557"/>
      <c r="K40" s="1557"/>
    </row>
    <row r="41" spans="1:15" s="1548" customFormat="1" ht="12" customHeight="1" x14ac:dyDescent="0.25">
      <c r="A41" s="2488"/>
      <c r="B41" s="2489"/>
      <c r="C41" s="2489"/>
      <c r="D41" s="2489"/>
      <c r="E41" s="2489"/>
      <c r="F41" s="2490"/>
      <c r="H41" s="1557"/>
      <c r="I41" s="1557"/>
      <c r="J41" s="1557"/>
      <c r="K41" s="1557"/>
    </row>
    <row r="42" spans="1:15" s="1548" customFormat="1" ht="12" customHeight="1" x14ac:dyDescent="0.25">
      <c r="A42" s="2488"/>
      <c r="B42" s="2489"/>
      <c r="C42" s="2489"/>
      <c r="D42" s="2489"/>
      <c r="E42" s="2489"/>
      <c r="F42" s="2490"/>
      <c r="H42" s="1557"/>
      <c r="I42" s="1557"/>
      <c r="J42" s="1557"/>
      <c r="K42" s="1557"/>
    </row>
    <row r="43" spans="1:15" s="1548" customFormat="1" ht="15" x14ac:dyDescent="0.25">
      <c r="A43" s="2480"/>
      <c r="B43" s="2481"/>
      <c r="C43" s="2481"/>
      <c r="D43" s="2481"/>
      <c r="E43" s="2481"/>
      <c r="F43" s="2482"/>
      <c r="H43" s="1557"/>
      <c r="I43" s="1557"/>
      <c r="J43" s="1557"/>
      <c r="K43" s="1557"/>
    </row>
    <row r="44" spans="1:15" s="1548" customFormat="1" ht="12" hidden="1" customHeight="1" x14ac:dyDescent="0.25">
      <c r="A44" s="2480"/>
      <c r="B44" s="2481"/>
      <c r="C44" s="2481"/>
      <c r="D44" s="2481"/>
      <c r="E44" s="2481"/>
      <c r="F44" s="2482"/>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71731-015B-4E3F-BE0D-DA822F891054}">
  <sheetPr>
    <pageSetUpPr fitToPage="1"/>
  </sheetPr>
  <dimension ref="A1:N72"/>
  <sheetViews>
    <sheetView showGridLines="0" topLeftCell="A44" zoomScaleNormal="100" workbookViewId="0">
      <selection activeCell="E67" sqref="E67"/>
    </sheetView>
  </sheetViews>
  <sheetFormatPr defaultRowHeight="15" x14ac:dyDescent="0.25"/>
  <cols>
    <col min="1" max="1" width="2.7109375" style="1992" customWidth="1"/>
    <col min="2" max="2" width="3" style="1992" customWidth="1"/>
    <col min="3" max="3" width="38" style="1992" customWidth="1"/>
    <col min="4" max="4" width="7.7109375" style="1992" customWidth="1"/>
    <col min="5" max="5" width="10.7109375" style="1992" customWidth="1"/>
    <col min="6" max="6" width="11" style="1992" customWidth="1"/>
    <col min="7" max="8" width="9.140625" style="1992"/>
    <col min="9" max="9" width="10.85546875" style="1992" customWidth="1"/>
    <col min="10" max="10" width="12.42578125" style="1992" customWidth="1"/>
    <col min="11" max="11" width="9.140625" style="1992"/>
    <col min="12" max="12" width="13.140625" style="1992" customWidth="1"/>
    <col min="13" max="13" width="9.140625" style="1992"/>
    <col min="14" max="14" width="17.85546875" style="1992" customWidth="1"/>
    <col min="15" max="16384" width="9.140625" style="1992"/>
  </cols>
  <sheetData>
    <row r="1" spans="1:14" x14ac:dyDescent="0.25">
      <c r="A1" s="2108"/>
      <c r="B1" s="2105"/>
      <c r="C1" s="2105"/>
      <c r="D1" s="2105"/>
      <c r="E1" s="2105"/>
      <c r="F1" s="2105"/>
      <c r="G1" s="2107" t="s">
        <v>402</v>
      </c>
      <c r="H1" s="2106"/>
      <c r="I1" s="2105"/>
      <c r="J1" s="2105"/>
      <c r="K1" s="2105"/>
      <c r="L1" s="2105"/>
      <c r="M1" s="2105"/>
      <c r="N1" s="2104"/>
    </row>
    <row r="2" spans="1:14" x14ac:dyDescent="0.25">
      <c r="A2" s="2037"/>
      <c r="B2" s="899"/>
      <c r="C2" s="899"/>
      <c r="D2" s="899"/>
      <c r="E2" s="899"/>
      <c r="F2" s="899"/>
      <c r="G2" s="1991" t="s">
        <v>2005</v>
      </c>
      <c r="H2" s="2103"/>
      <c r="I2" s="899"/>
      <c r="J2" s="899"/>
      <c r="K2" s="899"/>
      <c r="L2" s="899"/>
      <c r="M2" s="899"/>
      <c r="N2" s="2036"/>
    </row>
    <row r="3" spans="1:14" x14ac:dyDescent="0.25">
      <c r="A3" s="2037"/>
      <c r="B3" s="899"/>
      <c r="C3" s="899"/>
      <c r="D3" s="899"/>
      <c r="E3" s="899"/>
      <c r="F3" s="899"/>
      <c r="G3" s="1991" t="s">
        <v>403</v>
      </c>
      <c r="H3" s="899"/>
      <c r="I3" s="899"/>
      <c r="J3" s="899"/>
      <c r="K3" s="899"/>
      <c r="L3" s="899"/>
      <c r="M3" s="899"/>
      <c r="N3" s="2036"/>
    </row>
    <row r="4" spans="1:14" x14ac:dyDescent="0.25">
      <c r="A4" s="2037"/>
      <c r="B4" s="899"/>
      <c r="C4" s="899"/>
      <c r="D4" s="899"/>
      <c r="E4" s="899"/>
      <c r="F4" s="899"/>
      <c r="G4" s="1991" t="s">
        <v>863</v>
      </c>
      <c r="H4" s="899"/>
      <c r="I4" s="899"/>
      <c r="J4" s="899"/>
      <c r="K4" s="899"/>
      <c r="L4" s="899"/>
      <c r="M4" s="899"/>
      <c r="N4" s="2036"/>
    </row>
    <row r="5" spans="1:14" x14ac:dyDescent="0.25">
      <c r="A5" s="2037"/>
      <c r="B5" s="899"/>
      <c r="C5" s="899"/>
      <c r="D5" s="899"/>
      <c r="E5" s="899"/>
      <c r="F5" s="1991"/>
      <c r="G5" s="1991"/>
      <c r="H5" s="899"/>
      <c r="I5" s="899"/>
      <c r="J5" s="899"/>
      <c r="K5" s="899"/>
      <c r="L5" s="899"/>
      <c r="M5" s="899"/>
      <c r="N5" s="2036"/>
    </row>
    <row r="6" spans="1:14" x14ac:dyDescent="0.25">
      <c r="A6" s="2102" t="s">
        <v>667</v>
      </c>
      <c r="B6" s="1422"/>
      <c r="C6" s="1422"/>
      <c r="D6" s="1422"/>
      <c r="E6" s="1423"/>
      <c r="F6" s="2101"/>
      <c r="G6" s="1991"/>
      <c r="H6" s="899"/>
      <c r="I6" s="2025" t="s">
        <v>1021</v>
      </c>
      <c r="J6" s="2493" t="str">
        <f>+COVER!A17</f>
        <v>Earlville CUSD 9</v>
      </c>
      <c r="K6" s="2493"/>
      <c r="L6" s="2494"/>
      <c r="M6" s="899"/>
      <c r="N6" s="2036"/>
    </row>
    <row r="7" spans="1:14" x14ac:dyDescent="0.25">
      <c r="A7" s="2495" t="s">
        <v>864</v>
      </c>
      <c r="B7" s="2496"/>
      <c r="C7" s="2496"/>
      <c r="D7" s="2496"/>
      <c r="E7" s="2497"/>
      <c r="F7" s="2100"/>
      <c r="G7" s="899"/>
      <c r="H7" s="899"/>
      <c r="I7" s="2025" t="s">
        <v>369</v>
      </c>
      <c r="J7" s="2498">
        <f>+COVER!A13</f>
        <v>35050009026</v>
      </c>
      <c r="K7" s="2498"/>
      <c r="L7" s="2498"/>
      <c r="M7" s="899"/>
      <c r="N7" s="2036"/>
    </row>
    <row r="8" spans="1:14" x14ac:dyDescent="0.25">
      <c r="A8" s="2099"/>
      <c r="B8" s="2098"/>
      <c r="C8" s="2098"/>
      <c r="D8" s="2098"/>
      <c r="E8" s="2097"/>
      <c r="F8" s="2096"/>
      <c r="G8" s="2095"/>
      <c r="H8" s="2095"/>
      <c r="I8" s="2095"/>
      <c r="J8" s="2095"/>
      <c r="K8" s="2095"/>
      <c r="L8" s="2095"/>
      <c r="M8" s="899"/>
      <c r="N8" s="2036"/>
    </row>
    <row r="9" spans="1:14" x14ac:dyDescent="0.25">
      <c r="A9" s="2094"/>
      <c r="B9" s="2093"/>
      <c r="C9" s="2093"/>
      <c r="D9" s="2092"/>
      <c r="E9" s="2091" t="s">
        <v>2102</v>
      </c>
      <c r="F9" s="2089"/>
      <c r="G9" s="2089"/>
      <c r="H9" s="2089"/>
      <c r="I9" s="2090" t="s">
        <v>2101</v>
      </c>
      <c r="J9" s="2089"/>
      <c r="K9" s="2089"/>
      <c r="L9" s="2088"/>
      <c r="M9" s="899"/>
      <c r="N9" s="2036"/>
    </row>
    <row r="10" spans="1:14" x14ac:dyDescent="0.25">
      <c r="A10" s="2037"/>
      <c r="B10" s="899"/>
      <c r="C10" s="1991"/>
      <c r="D10" s="2087"/>
      <c r="E10" s="2086" t="s">
        <v>422</v>
      </c>
      <c r="F10" s="2083" t="s">
        <v>423</v>
      </c>
      <c r="G10" s="2084" t="s">
        <v>429</v>
      </c>
      <c r="H10" s="2085"/>
      <c r="I10" s="2083" t="s">
        <v>422</v>
      </c>
      <c r="J10" s="2083" t="s">
        <v>423</v>
      </c>
      <c r="K10" s="2084" t="s">
        <v>429</v>
      </c>
      <c r="L10" s="2083"/>
      <c r="M10" s="899"/>
      <c r="N10" s="2036"/>
    </row>
    <row r="11" spans="1:14" ht="51" x14ac:dyDescent="0.25">
      <c r="A11" s="2499" t="s">
        <v>478</v>
      </c>
      <c r="B11" s="2500"/>
      <c r="C11" s="2501"/>
      <c r="D11" s="2082" t="s">
        <v>866</v>
      </c>
      <c r="E11" s="2082" t="s">
        <v>64</v>
      </c>
      <c r="F11" s="2082" t="s">
        <v>6</v>
      </c>
      <c r="G11" s="2081" t="s">
        <v>2100</v>
      </c>
      <c r="H11" s="2080" t="s">
        <v>155</v>
      </c>
      <c r="I11" s="2082" t="s">
        <v>64</v>
      </c>
      <c r="J11" s="2082" t="s">
        <v>6</v>
      </c>
      <c r="K11" s="2081" t="s">
        <v>2004</v>
      </c>
      <c r="L11" s="2080" t="s">
        <v>155</v>
      </c>
      <c r="M11" s="899"/>
      <c r="N11" s="2036"/>
    </row>
    <row r="12" spans="1:14" x14ac:dyDescent="0.25">
      <c r="A12" s="2066">
        <v>1</v>
      </c>
      <c r="B12" s="2078" t="s">
        <v>813</v>
      </c>
      <c r="C12" s="2077"/>
      <c r="D12" s="2076">
        <v>2320</v>
      </c>
      <c r="E12" s="2075">
        <f>+'Expenditures 15-22'!K50</f>
        <v>157631</v>
      </c>
      <c r="F12" s="2073"/>
      <c r="G12" s="2074">
        <f>G68</f>
        <v>0</v>
      </c>
      <c r="H12" s="2070">
        <f t="shared" ref="H12:H18" si="0">SUM(E12:G12)</f>
        <v>157631</v>
      </c>
      <c r="I12" s="2071">
        <f>+'AC32'!H12</f>
        <v>190892</v>
      </c>
      <c r="J12" s="2073"/>
      <c r="K12" s="2071">
        <v>0</v>
      </c>
      <c r="L12" s="2070">
        <f t="shared" ref="L12:L18" si="1">SUM(I12:K12)</f>
        <v>190892</v>
      </c>
      <c r="M12" s="899"/>
      <c r="N12" s="2036"/>
    </row>
    <row r="13" spans="1:14" x14ac:dyDescent="0.25">
      <c r="A13" s="2066">
        <v>2</v>
      </c>
      <c r="B13" s="2078" t="s">
        <v>42</v>
      </c>
      <c r="C13" s="2077"/>
      <c r="D13" s="2076">
        <v>2330</v>
      </c>
      <c r="E13" s="2075">
        <f>+'Expenditures 15-22'!K51</f>
        <v>0</v>
      </c>
      <c r="F13" s="2073"/>
      <c r="G13" s="2074">
        <f>H68</f>
        <v>0</v>
      </c>
      <c r="H13" s="2070">
        <f t="shared" si="0"/>
        <v>0</v>
      </c>
      <c r="I13" s="2071"/>
      <c r="J13" s="2073"/>
      <c r="K13" s="2071">
        <v>0</v>
      </c>
      <c r="L13" s="2070">
        <f t="shared" si="1"/>
        <v>0</v>
      </c>
      <c r="M13" s="899"/>
      <c r="N13" s="2036"/>
    </row>
    <row r="14" spans="1:14" x14ac:dyDescent="0.25">
      <c r="A14" s="2066">
        <v>3</v>
      </c>
      <c r="B14" s="2078" t="s">
        <v>43</v>
      </c>
      <c r="C14" s="2077"/>
      <c r="D14" s="2079">
        <v>2490</v>
      </c>
      <c r="E14" s="2075">
        <f>+'Expenditures 15-22'!K56</f>
        <v>0</v>
      </c>
      <c r="F14" s="2073"/>
      <c r="G14" s="2074">
        <f>I68</f>
        <v>0</v>
      </c>
      <c r="H14" s="2070">
        <f t="shared" si="0"/>
        <v>0</v>
      </c>
      <c r="I14" s="2071"/>
      <c r="J14" s="2073"/>
      <c r="K14" s="2071">
        <v>0</v>
      </c>
      <c r="L14" s="2070">
        <f t="shared" si="1"/>
        <v>0</v>
      </c>
      <c r="M14" s="899"/>
      <c r="N14" s="2036"/>
    </row>
    <row r="15" spans="1:14" x14ac:dyDescent="0.25">
      <c r="A15" s="2066">
        <v>4</v>
      </c>
      <c r="B15" s="2078" t="s">
        <v>1061</v>
      </c>
      <c r="C15" s="2077"/>
      <c r="D15" s="2076">
        <v>2510</v>
      </c>
      <c r="E15" s="2075">
        <f>+'Expenditures 15-22'!K59</f>
        <v>0</v>
      </c>
      <c r="F15" s="2075">
        <f>+'Expenditures 15-22'!K122</f>
        <v>0</v>
      </c>
      <c r="G15" s="2074">
        <f>J68</f>
        <v>0</v>
      </c>
      <c r="H15" s="2070">
        <f t="shared" si="0"/>
        <v>0</v>
      </c>
      <c r="I15" s="2071"/>
      <c r="J15" s="2071"/>
      <c r="K15" s="2071">
        <v>0</v>
      </c>
      <c r="L15" s="2070">
        <f t="shared" si="1"/>
        <v>0</v>
      </c>
      <c r="M15" s="899"/>
      <c r="N15" s="2036"/>
    </row>
    <row r="16" spans="1:14" x14ac:dyDescent="0.25">
      <c r="A16" s="2066">
        <v>5</v>
      </c>
      <c r="B16" s="2078" t="s">
        <v>101</v>
      </c>
      <c r="C16" s="2077"/>
      <c r="D16" s="2076">
        <v>2570</v>
      </c>
      <c r="E16" s="2075">
        <f>+'Expenditures 15-22'!K64</f>
        <v>17632</v>
      </c>
      <c r="F16" s="2073"/>
      <c r="G16" s="2074">
        <f>K68</f>
        <v>0</v>
      </c>
      <c r="H16" s="2070">
        <f t="shared" si="0"/>
        <v>17632</v>
      </c>
      <c r="I16" s="2071">
        <f>+'AC32'!H16</f>
        <v>17500</v>
      </c>
      <c r="J16" s="2073"/>
      <c r="K16" s="2071">
        <v>0</v>
      </c>
      <c r="L16" s="2070">
        <f t="shared" si="1"/>
        <v>17500</v>
      </c>
      <c r="M16" s="899"/>
      <c r="N16" s="2036"/>
    </row>
    <row r="17" spans="1:14" x14ac:dyDescent="0.25">
      <c r="A17" s="2066">
        <v>6</v>
      </c>
      <c r="B17" s="2078" t="s">
        <v>1053</v>
      </c>
      <c r="C17" s="2077"/>
      <c r="D17" s="2076">
        <v>2610</v>
      </c>
      <c r="E17" s="2075">
        <f>+'Expenditures 15-22'!K67</f>
        <v>0</v>
      </c>
      <c r="F17" s="2073"/>
      <c r="G17" s="2074">
        <f>L68</f>
        <v>0</v>
      </c>
      <c r="H17" s="2070">
        <f t="shared" si="0"/>
        <v>0</v>
      </c>
      <c r="I17" s="2071"/>
      <c r="J17" s="2073"/>
      <c r="K17" s="2071">
        <v>0</v>
      </c>
      <c r="L17" s="2070">
        <f t="shared" si="1"/>
        <v>0</v>
      </c>
      <c r="M17" s="899"/>
      <c r="N17" s="2036"/>
    </row>
    <row r="18" spans="1:14" ht="28.5" customHeight="1" x14ac:dyDescent="0.25">
      <c r="A18" s="2072">
        <v>7</v>
      </c>
      <c r="B18" s="2502" t="s">
        <v>7</v>
      </c>
      <c r="C18" s="2502"/>
      <c r="D18" s="2503"/>
      <c r="E18" s="2071"/>
      <c r="F18" s="2071"/>
      <c r="G18" s="2071"/>
      <c r="H18" s="2070">
        <f t="shared" si="0"/>
        <v>0</v>
      </c>
      <c r="I18" s="2071"/>
      <c r="J18" s="2071"/>
      <c r="K18" s="2071"/>
      <c r="L18" s="2070">
        <f t="shared" si="1"/>
        <v>0</v>
      </c>
      <c r="M18" s="899"/>
      <c r="N18" s="2036"/>
    </row>
    <row r="19" spans="1:14" ht="15.75" thickBot="1" x14ac:dyDescent="0.3">
      <c r="A19" s="2066">
        <v>8</v>
      </c>
      <c r="B19" s="2069" t="s">
        <v>1153</v>
      </c>
      <c r="C19" s="899"/>
      <c r="D19" s="2068"/>
      <c r="E19" s="2067">
        <f t="shared" ref="E19:L19" si="2">SUM(E12:E17)-E18</f>
        <v>175263</v>
      </c>
      <c r="F19" s="2067">
        <f t="shared" si="2"/>
        <v>0</v>
      </c>
      <c r="G19" s="2067">
        <f t="shared" si="2"/>
        <v>0</v>
      </c>
      <c r="H19" s="2067">
        <f t="shared" si="2"/>
        <v>175263</v>
      </c>
      <c r="I19" s="2067">
        <f t="shared" si="2"/>
        <v>208392</v>
      </c>
      <c r="J19" s="2067">
        <f t="shared" si="2"/>
        <v>0</v>
      </c>
      <c r="K19" s="2067">
        <f t="shared" si="2"/>
        <v>0</v>
      </c>
      <c r="L19" s="2067">
        <f t="shared" si="2"/>
        <v>208392</v>
      </c>
      <c r="M19" s="899"/>
      <c r="N19" s="2036"/>
    </row>
    <row r="20" spans="1:14" ht="15.75" thickTop="1" x14ac:dyDescent="0.25">
      <c r="A20" s="2066">
        <v>9</v>
      </c>
      <c r="B20" s="2491" t="s">
        <v>2099</v>
      </c>
      <c r="C20" s="2491"/>
      <c r="D20" s="2492"/>
      <c r="E20" s="2065"/>
      <c r="F20" s="2065"/>
      <c r="G20" s="2065"/>
      <c r="H20" s="2065"/>
      <c r="I20" s="2065"/>
      <c r="J20" s="2065"/>
      <c r="K20" s="2065"/>
      <c r="L20" s="2064">
        <f>IF(AND(H19&gt;0,L19&gt;0),(((L19-H19)/H19)),"Enter Budget Data")</f>
        <v>0.18902449461666182</v>
      </c>
      <c r="M20" s="899"/>
      <c r="N20" s="2036"/>
    </row>
    <row r="21" spans="1:14" x14ac:dyDescent="0.25">
      <c r="A21" s="2063" t="s">
        <v>194</v>
      </c>
      <c r="B21" s="294" t="s">
        <v>2098</v>
      </c>
      <c r="C21" s="899"/>
      <c r="D21" s="2047"/>
      <c r="E21" s="2046"/>
      <c r="F21" s="2062"/>
      <c r="G21" s="2062"/>
      <c r="H21" s="2062"/>
      <c r="I21" s="2062"/>
      <c r="J21" s="2062"/>
      <c r="K21" s="2062"/>
      <c r="L21" s="2061"/>
      <c r="M21" s="899"/>
      <c r="N21" s="2036"/>
    </row>
    <row r="22" spans="1:14" x14ac:dyDescent="0.25">
      <c r="A22" s="2037"/>
      <c r="B22" s="2049"/>
      <c r="C22" s="899"/>
      <c r="D22" s="899"/>
      <c r="E22" s="899"/>
      <c r="F22" s="899"/>
      <c r="G22" s="899"/>
      <c r="H22" s="899"/>
      <c r="I22" s="899"/>
      <c r="J22" s="899"/>
      <c r="K22" s="899"/>
      <c r="L22" s="899"/>
      <c r="M22" s="899"/>
      <c r="N22" s="2036"/>
    </row>
    <row r="23" spans="1:14" x14ac:dyDescent="0.25">
      <c r="A23" s="2060" t="s">
        <v>132</v>
      </c>
      <c r="B23" s="2049"/>
      <c r="C23" s="899"/>
      <c r="D23" s="899"/>
      <c r="E23" s="899"/>
      <c r="F23" s="899"/>
      <c r="G23" s="899"/>
      <c r="H23" s="899"/>
      <c r="I23" s="899"/>
      <c r="J23" s="899"/>
      <c r="K23" s="899"/>
      <c r="L23" s="899"/>
      <c r="M23" s="899"/>
      <c r="N23" s="2036"/>
    </row>
    <row r="24" spans="1:14" x14ac:dyDescent="0.25">
      <c r="A24" s="2059" t="s">
        <v>2097</v>
      </c>
      <c r="B24" s="2058"/>
      <c r="C24" s="2057"/>
      <c r="D24" s="2057"/>
      <c r="E24" s="2057"/>
      <c r="F24" s="2057"/>
      <c r="G24" s="2057"/>
      <c r="H24" s="2057"/>
      <c r="I24" s="2057"/>
      <c r="J24" s="2057"/>
      <c r="K24" s="2057"/>
      <c r="L24" s="899"/>
      <c r="M24" s="899"/>
      <c r="N24" s="2036"/>
    </row>
    <row r="25" spans="1:14" x14ac:dyDescent="0.25">
      <c r="A25" s="2059" t="s">
        <v>2096</v>
      </c>
      <c r="B25" s="2058"/>
      <c r="C25" s="2057"/>
      <c r="D25" s="2057"/>
      <c r="E25" s="2057"/>
      <c r="F25" s="2057"/>
      <c r="G25" s="2057"/>
      <c r="H25" s="2057"/>
      <c r="I25" s="2057"/>
      <c r="J25" s="2057"/>
      <c r="K25" s="2057"/>
      <c r="L25" s="899"/>
      <c r="M25" s="899"/>
      <c r="N25" s="2036"/>
    </row>
    <row r="26" spans="1:14" x14ac:dyDescent="0.25">
      <c r="A26" s="2056"/>
      <c r="B26" s="2049"/>
      <c r="C26" s="899"/>
      <c r="D26" s="899"/>
      <c r="E26" s="899"/>
      <c r="F26" s="899"/>
      <c r="G26" s="899"/>
      <c r="H26" s="899"/>
      <c r="I26" s="899"/>
      <c r="J26" s="899"/>
      <c r="K26" s="899"/>
      <c r="L26" s="899"/>
      <c r="M26" s="899"/>
      <c r="N26" s="2036"/>
    </row>
    <row r="27" spans="1:14" x14ac:dyDescent="0.25">
      <c r="A27" s="2037"/>
      <c r="B27" s="2049"/>
      <c r="C27" s="2506"/>
      <c r="D27" s="2506"/>
      <c r="E27" s="2055"/>
      <c r="F27" s="2507"/>
      <c r="G27" s="2507"/>
      <c r="H27" s="2507"/>
      <c r="I27" s="899"/>
      <c r="J27" s="899"/>
      <c r="K27" s="899"/>
      <c r="L27" s="899"/>
      <c r="M27" s="899"/>
      <c r="N27" s="2036"/>
    </row>
    <row r="28" spans="1:14" x14ac:dyDescent="0.25">
      <c r="A28" s="2037"/>
      <c r="B28" s="2049"/>
      <c r="C28" s="2054" t="s">
        <v>1026</v>
      </c>
      <c r="D28" s="2053"/>
      <c r="E28" s="2052"/>
      <c r="F28" s="2508" t="s">
        <v>1495</v>
      </c>
      <c r="G28" s="2508"/>
      <c r="H28" s="2508"/>
      <c r="I28" s="899"/>
      <c r="J28" s="899"/>
      <c r="K28" s="899"/>
      <c r="L28" s="899"/>
      <c r="M28" s="899"/>
      <c r="N28" s="2036"/>
    </row>
    <row r="29" spans="1:14" x14ac:dyDescent="0.25">
      <c r="A29" s="2037"/>
      <c r="B29" s="2049"/>
      <c r="C29" s="2509"/>
      <c r="D29" s="2509"/>
      <c r="E29" s="898"/>
      <c r="F29" s="2509"/>
      <c r="G29" s="2509"/>
      <c r="H29" s="2509"/>
      <c r="I29" s="899"/>
      <c r="J29" s="899"/>
      <c r="K29" s="899"/>
      <c r="L29" s="899"/>
      <c r="M29" s="899"/>
      <c r="N29" s="2036"/>
    </row>
    <row r="30" spans="1:14" x14ac:dyDescent="0.25">
      <c r="A30" s="2037"/>
      <c r="B30" s="2049"/>
      <c r="C30" s="2051" t="s">
        <v>1547</v>
      </c>
      <c r="D30" s="899"/>
      <c r="E30" s="2050"/>
      <c r="F30" s="2510" t="s">
        <v>1496</v>
      </c>
      <c r="G30" s="2510"/>
      <c r="H30" s="2510"/>
      <c r="I30" s="899"/>
      <c r="J30" s="899"/>
      <c r="K30" s="899"/>
      <c r="L30" s="899"/>
      <c r="M30" s="899"/>
      <c r="N30" s="2036"/>
    </row>
    <row r="31" spans="1:14" x14ac:dyDescent="0.25">
      <c r="A31" s="2037"/>
      <c r="B31" s="2049"/>
      <c r="C31" s="2048"/>
      <c r="D31" s="899"/>
      <c r="E31" s="2047"/>
      <c r="F31" s="2046"/>
      <c r="G31" s="2046"/>
      <c r="H31" s="2046"/>
      <c r="I31" s="899"/>
      <c r="J31" s="899"/>
      <c r="K31" s="899"/>
      <c r="L31" s="899"/>
      <c r="M31" s="899"/>
      <c r="N31" s="2036"/>
    </row>
    <row r="32" spans="1:14" x14ac:dyDescent="0.25">
      <c r="A32" s="2037"/>
      <c r="B32" s="2045" t="s">
        <v>1027</v>
      </c>
      <c r="C32" s="899"/>
      <c r="D32" s="899"/>
      <c r="E32" s="899"/>
      <c r="F32" s="899"/>
      <c r="G32" s="899"/>
      <c r="H32" s="899"/>
      <c r="I32" s="899"/>
      <c r="J32" s="899"/>
      <c r="K32" s="899"/>
      <c r="L32" s="899"/>
      <c r="M32" s="899"/>
      <c r="N32" s="2036"/>
    </row>
    <row r="33" spans="1:14" x14ac:dyDescent="0.25">
      <c r="A33" s="2037"/>
      <c r="B33" s="2044"/>
      <c r="C33" s="899"/>
      <c r="D33" s="899"/>
      <c r="E33" s="899"/>
      <c r="F33" s="899"/>
      <c r="G33" s="899"/>
      <c r="H33" s="899"/>
      <c r="I33" s="899"/>
      <c r="J33" s="899"/>
      <c r="K33" s="899"/>
      <c r="L33" s="899"/>
      <c r="M33" s="899"/>
      <c r="N33" s="2036"/>
    </row>
    <row r="34" spans="1:14" x14ac:dyDescent="0.25">
      <c r="A34" s="2037"/>
      <c r="B34" s="2039"/>
      <c r="C34" s="2511" t="s">
        <v>2095</v>
      </c>
      <c r="D34" s="2511"/>
      <c r="E34" s="2511"/>
      <c r="F34" s="2511"/>
      <c r="G34" s="2511"/>
      <c r="H34" s="2511"/>
      <c r="I34" s="2511"/>
      <c r="J34" s="2511"/>
      <c r="K34" s="2043"/>
      <c r="L34" s="899"/>
      <c r="M34" s="899"/>
      <c r="N34" s="2036"/>
    </row>
    <row r="35" spans="1:14" x14ac:dyDescent="0.25">
      <c r="A35" s="2037"/>
      <c r="B35" s="899"/>
      <c r="C35" s="2511"/>
      <c r="D35" s="2511"/>
      <c r="E35" s="2511"/>
      <c r="F35" s="2511"/>
      <c r="G35" s="2511"/>
      <c r="H35" s="2511"/>
      <c r="I35" s="2511"/>
      <c r="J35" s="2511"/>
      <c r="K35" s="2043"/>
      <c r="L35" s="899"/>
      <c r="M35" s="899"/>
      <c r="N35" s="2036"/>
    </row>
    <row r="36" spans="1:14" x14ac:dyDescent="0.25">
      <c r="A36" s="2037"/>
      <c r="B36" s="899"/>
      <c r="C36" s="2042"/>
      <c r="D36" s="899"/>
      <c r="E36" s="899"/>
      <c r="F36" s="899"/>
      <c r="G36" s="899"/>
      <c r="H36" s="899"/>
      <c r="I36" s="899"/>
      <c r="J36" s="899"/>
      <c r="K36" s="899"/>
      <c r="L36" s="899"/>
      <c r="M36" s="899"/>
      <c r="N36" s="2036"/>
    </row>
    <row r="37" spans="1:14" x14ac:dyDescent="0.25">
      <c r="A37" s="2037"/>
      <c r="B37" s="2039"/>
      <c r="C37" s="2511" t="s">
        <v>2094</v>
      </c>
      <c r="D37" s="2511"/>
      <c r="E37" s="2511"/>
      <c r="F37" s="2511"/>
      <c r="G37" s="2511"/>
      <c r="H37" s="2511"/>
      <c r="I37" s="2511"/>
      <c r="J37" s="2511"/>
      <c r="K37" s="2043"/>
      <c r="L37" s="887"/>
      <c r="M37" s="899"/>
      <c r="N37" s="2036"/>
    </row>
    <row r="38" spans="1:14" x14ac:dyDescent="0.25">
      <c r="A38" s="2037"/>
      <c r="B38" s="899"/>
      <c r="C38" s="2511"/>
      <c r="D38" s="2511"/>
      <c r="E38" s="2511"/>
      <c r="F38" s="2511"/>
      <c r="G38" s="2511"/>
      <c r="H38" s="2511"/>
      <c r="I38" s="2511"/>
      <c r="J38" s="2511"/>
      <c r="K38" s="2043"/>
      <c r="L38" s="887"/>
      <c r="M38" s="899"/>
      <c r="N38" s="2036"/>
    </row>
    <row r="39" spans="1:14" x14ac:dyDescent="0.25">
      <c r="A39" s="2037"/>
      <c r="B39" s="899"/>
      <c r="C39" s="2042"/>
      <c r="D39" s="899"/>
      <c r="E39" s="2040"/>
      <c r="F39" s="2041"/>
      <c r="G39" s="2041"/>
      <c r="H39" s="2040"/>
      <c r="I39" s="899"/>
      <c r="J39" s="899"/>
      <c r="K39" s="899"/>
      <c r="L39" s="899"/>
      <c r="M39" s="899"/>
      <c r="N39" s="2036"/>
    </row>
    <row r="40" spans="1:14" x14ac:dyDescent="0.25">
      <c r="A40" s="2037"/>
      <c r="B40" s="2039"/>
      <c r="C40" s="2512" t="s">
        <v>2093</v>
      </c>
      <c r="D40" s="2513"/>
      <c r="E40" s="2513"/>
      <c r="F40" s="2513"/>
      <c r="G40" s="2513"/>
      <c r="H40" s="2513"/>
      <c r="I40" s="2513"/>
      <c r="J40" s="2513"/>
      <c r="K40" s="2038"/>
      <c r="L40" s="899"/>
      <c r="M40" s="899"/>
      <c r="N40" s="2036"/>
    </row>
    <row r="41" spans="1:14" x14ac:dyDescent="0.25">
      <c r="A41" s="2037"/>
      <c r="B41" s="899"/>
      <c r="C41" s="891"/>
      <c r="D41" s="891"/>
      <c r="E41" s="891"/>
      <c r="F41" s="891"/>
      <c r="G41" s="891"/>
      <c r="H41" s="891"/>
      <c r="I41" s="891"/>
      <c r="J41" s="891"/>
      <c r="K41" s="891"/>
      <c r="L41" s="899"/>
      <c r="M41" s="899"/>
      <c r="N41" s="2036"/>
    </row>
    <row r="42" spans="1:14" ht="15.75" thickBot="1" x14ac:dyDescent="0.3">
      <c r="A42" s="2035"/>
      <c r="B42" s="2034"/>
      <c r="C42" s="2034"/>
      <c r="D42" s="2034"/>
      <c r="E42" s="2034"/>
      <c r="F42" s="2034"/>
      <c r="G42" s="2034"/>
      <c r="H42" s="2034"/>
      <c r="I42" s="2034"/>
      <c r="J42" s="2034"/>
      <c r="K42" s="2034"/>
      <c r="L42" s="2034"/>
      <c r="M42" s="2034"/>
      <c r="N42" s="2033"/>
    </row>
    <row r="43" spans="1:14" ht="27" thickBot="1" x14ac:dyDescent="0.45">
      <c r="A43" s="2514" t="s">
        <v>2092</v>
      </c>
      <c r="B43" s="2515"/>
      <c r="C43" s="2515"/>
      <c r="D43" s="2515"/>
      <c r="E43" s="2515"/>
      <c r="F43" s="2515"/>
      <c r="G43" s="2515"/>
      <c r="H43" s="2515"/>
      <c r="I43" s="2515"/>
      <c r="J43" s="2515"/>
      <c r="K43" s="2515"/>
      <c r="L43" s="2515"/>
      <c r="M43" s="2515"/>
      <c r="N43" s="2516"/>
    </row>
    <row r="44" spans="1:14" x14ac:dyDescent="0.25">
      <c r="A44" s="2024"/>
      <c r="B44" s="2023"/>
      <c r="C44" s="2023"/>
      <c r="D44" s="2023"/>
      <c r="E44" s="2023"/>
      <c r="F44" s="2023"/>
      <c r="G44" s="2023"/>
      <c r="H44" s="2023"/>
      <c r="I44" s="2023"/>
      <c r="J44" s="2023"/>
      <c r="K44" s="2023"/>
      <c r="L44" s="2023"/>
      <c r="M44" s="2023"/>
      <c r="N44" s="2022"/>
    </row>
    <row r="45" spans="1:14" x14ac:dyDescent="0.25">
      <c r="A45" s="2024" t="s">
        <v>2091</v>
      </c>
      <c r="B45" s="2023"/>
      <c r="C45" s="2023"/>
      <c r="D45" s="2023"/>
      <c r="E45" s="2023"/>
      <c r="F45" s="2023"/>
      <c r="G45" s="2023"/>
      <c r="H45" s="2023"/>
      <c r="I45" s="2023"/>
      <c r="J45" s="2023"/>
      <c r="K45" s="2023"/>
      <c r="L45" s="2023"/>
      <c r="M45" s="2023"/>
      <c r="N45" s="2022"/>
    </row>
    <row r="46" spans="1:14" x14ac:dyDescent="0.25">
      <c r="A46" s="2517" t="s">
        <v>2090</v>
      </c>
      <c r="B46" s="2518"/>
      <c r="C46" s="2518"/>
      <c r="D46" s="2518"/>
      <c r="E46" s="2518"/>
      <c r="F46" s="2518"/>
      <c r="G46" s="2518"/>
      <c r="H46" s="2518"/>
      <c r="I46" s="2518"/>
      <c r="J46" s="2518"/>
      <c r="K46" s="2518"/>
      <c r="L46" s="2518"/>
      <c r="M46" s="2518"/>
      <c r="N46" s="2519"/>
    </row>
    <row r="47" spans="1:14" x14ac:dyDescent="0.25">
      <c r="A47" s="2517"/>
      <c r="B47" s="2518"/>
      <c r="C47" s="2518"/>
      <c r="D47" s="2518"/>
      <c r="E47" s="2518"/>
      <c r="F47" s="2518"/>
      <c r="G47" s="2518"/>
      <c r="H47" s="2518"/>
      <c r="I47" s="2518"/>
      <c r="J47" s="2518"/>
      <c r="K47" s="2518"/>
      <c r="L47" s="2518"/>
      <c r="M47" s="2518"/>
      <c r="N47" s="2519"/>
    </row>
    <row r="48" spans="1:14" x14ac:dyDescent="0.25">
      <c r="A48" s="2032"/>
      <c r="B48" s="2023"/>
      <c r="C48" s="2023"/>
      <c r="D48" s="2031"/>
      <c r="E48" s="2031"/>
      <c r="F48" s="2031"/>
      <c r="G48" s="2031"/>
      <c r="H48" s="2031"/>
      <c r="I48" s="2031"/>
      <c r="J48" s="2031"/>
      <c r="K48" s="2031"/>
      <c r="L48" s="2031"/>
      <c r="M48" s="2031"/>
      <c r="N48" s="2030"/>
    </row>
    <row r="49" spans="1:14" ht="15.75" x14ac:dyDescent="0.25">
      <c r="A49" s="2026" t="s">
        <v>2089</v>
      </c>
      <c r="B49" s="2029"/>
      <c r="C49" s="2029"/>
      <c r="D49" s="2028"/>
      <c r="E49" s="2028"/>
      <c r="F49" s="2028"/>
      <c r="G49" s="2028"/>
      <c r="H49" s="2028"/>
      <c r="I49" s="2028"/>
      <c r="J49" s="2028"/>
      <c r="K49" s="2028"/>
      <c r="L49" s="2028"/>
      <c r="M49" s="2028"/>
      <c r="N49" s="2027"/>
    </row>
    <row r="50" spans="1:14" x14ac:dyDescent="0.25">
      <c r="A50" s="2026" t="s">
        <v>2088</v>
      </c>
      <c r="B50" s="2023"/>
      <c r="C50" s="2023"/>
      <c r="D50" s="2023"/>
      <c r="E50" s="2023"/>
      <c r="F50" s="2023"/>
      <c r="G50" s="2023"/>
      <c r="H50" s="2023"/>
      <c r="I50" s="2023"/>
      <c r="J50" s="2023"/>
      <c r="K50" s="2023"/>
      <c r="L50" s="2023"/>
      <c r="M50" s="2023"/>
      <c r="N50" s="2022"/>
    </row>
    <row r="51" spans="1:14" x14ac:dyDescent="0.25">
      <c r="A51" s="2024"/>
      <c r="B51" s="2023"/>
      <c r="C51" s="2023"/>
      <c r="D51" s="2023"/>
      <c r="E51" s="2023"/>
      <c r="F51" s="2023"/>
      <c r="G51" s="2023"/>
      <c r="H51" s="2023"/>
      <c r="I51" s="2023"/>
      <c r="J51" s="2023"/>
      <c r="K51" s="2023"/>
      <c r="L51" s="2023"/>
      <c r="M51" s="2023"/>
      <c r="N51" s="2022"/>
    </row>
    <row r="52" spans="1:14" x14ac:dyDescent="0.25">
      <c r="A52" s="2024"/>
      <c r="B52" s="2023"/>
      <c r="C52" s="2023"/>
      <c r="D52" s="2023"/>
      <c r="E52" s="2023"/>
      <c r="F52" s="2023"/>
      <c r="G52" s="2023"/>
      <c r="H52" s="2023"/>
      <c r="I52" s="2023"/>
      <c r="J52" s="2023"/>
      <c r="K52" s="2025" t="s">
        <v>1021</v>
      </c>
      <c r="L52" s="2504" t="str">
        <f>J6</f>
        <v>Earlville CUSD 9</v>
      </c>
      <c r="M52" s="2504"/>
      <c r="N52" s="2505"/>
    </row>
    <row r="53" spans="1:14" x14ac:dyDescent="0.25">
      <c r="A53" s="2024"/>
      <c r="B53" s="2023"/>
      <c r="C53" s="2023"/>
      <c r="D53" s="2023"/>
      <c r="E53" s="2023"/>
      <c r="F53" s="2023"/>
      <c r="G53" s="2023"/>
      <c r="H53" s="2023"/>
      <c r="I53" s="2023"/>
      <c r="J53" s="2023"/>
      <c r="K53" s="2025" t="s">
        <v>369</v>
      </c>
      <c r="L53" s="2522">
        <f>J7</f>
        <v>35050009026</v>
      </c>
      <c r="M53" s="2522"/>
      <c r="N53" s="2523"/>
    </row>
    <row r="54" spans="1:14" ht="15.75" thickBot="1" x14ac:dyDescent="0.3">
      <c r="A54" s="2024"/>
      <c r="B54" s="2023"/>
      <c r="C54" s="2023"/>
      <c r="D54" s="2023"/>
      <c r="E54" s="2023"/>
      <c r="F54" s="2023"/>
      <c r="G54" s="2023"/>
      <c r="H54" s="2023"/>
      <c r="I54" s="2023"/>
      <c r="J54" s="2023"/>
      <c r="K54" s="2023"/>
      <c r="L54" s="2023"/>
      <c r="M54" s="2023"/>
      <c r="N54" s="2022"/>
    </row>
    <row r="55" spans="1:14" x14ac:dyDescent="0.25">
      <c r="A55" s="2524"/>
      <c r="B55" s="2525"/>
      <c r="C55" s="2525"/>
      <c r="D55" s="2004"/>
      <c r="E55" s="2004"/>
      <c r="F55" s="2004"/>
      <c r="G55" s="2526" t="s">
        <v>2087</v>
      </c>
      <c r="H55" s="2526"/>
      <c r="I55" s="2526"/>
      <c r="J55" s="2526"/>
      <c r="K55" s="2526"/>
      <c r="L55" s="2526"/>
      <c r="M55" s="2526"/>
      <c r="N55" s="2527"/>
    </row>
    <row r="56" spans="1:14" ht="64.5" x14ac:dyDescent="0.25">
      <c r="A56" s="2528" t="s">
        <v>2086</v>
      </c>
      <c r="B56" s="2529"/>
      <c r="C56" s="2530"/>
      <c r="D56" s="2020" t="s">
        <v>2085</v>
      </c>
      <c r="E56" s="2020" t="s">
        <v>2084</v>
      </c>
      <c r="F56" s="2021"/>
      <c r="G56" s="2020" t="s">
        <v>2083</v>
      </c>
      <c r="H56" s="2020" t="s">
        <v>2082</v>
      </c>
      <c r="I56" s="2020" t="s">
        <v>2081</v>
      </c>
      <c r="J56" s="2020" t="s">
        <v>2080</v>
      </c>
      <c r="K56" s="2020" t="s">
        <v>2079</v>
      </c>
      <c r="L56" s="2020" t="s">
        <v>2078</v>
      </c>
      <c r="M56" s="2020" t="s">
        <v>2077</v>
      </c>
      <c r="N56" s="2019" t="s">
        <v>2076</v>
      </c>
    </row>
    <row r="57" spans="1:14" ht="24" customHeight="1" x14ac:dyDescent="0.25">
      <c r="A57" s="2531" t="s">
        <v>296</v>
      </c>
      <c r="B57" s="2532"/>
      <c r="C57" s="2532"/>
      <c r="D57" s="2018">
        <v>2361</v>
      </c>
      <c r="E57" s="2017">
        <f>+'Expenditures 15-22'!K319</f>
        <v>0</v>
      </c>
      <c r="F57" s="2008"/>
      <c r="G57" s="2016"/>
      <c r="H57" s="2015"/>
      <c r="I57" s="2015"/>
      <c r="J57" s="2015"/>
      <c r="K57" s="2015"/>
      <c r="L57" s="2015"/>
      <c r="M57" s="2015"/>
      <c r="N57" s="2005">
        <f t="shared" ref="N57:N67" si="3">IF((SUM(G57:M57))=E57,SUM(G57:M57),"Column N does not agree with Column E")</f>
        <v>0</v>
      </c>
    </row>
    <row r="58" spans="1:14" ht="24.75" customHeight="1" x14ac:dyDescent="0.25">
      <c r="A58" s="2533" t="s">
        <v>2075</v>
      </c>
      <c r="B58" s="2534"/>
      <c r="C58" s="2534"/>
      <c r="D58" s="2014">
        <v>2362</v>
      </c>
      <c r="E58" s="2013">
        <f>+'Expenditures 15-22'!K320</f>
        <v>983</v>
      </c>
      <c r="F58" s="2008"/>
      <c r="G58" s="2012"/>
      <c r="H58" s="2011"/>
      <c r="I58" s="2011"/>
      <c r="J58" s="2011"/>
      <c r="K58" s="2011"/>
      <c r="L58" s="2011"/>
      <c r="M58" s="2011">
        <v>983</v>
      </c>
      <c r="N58" s="2005">
        <f t="shared" si="3"/>
        <v>983</v>
      </c>
    </row>
    <row r="59" spans="1:14" ht="24.75" customHeight="1" x14ac:dyDescent="0.25">
      <c r="A59" s="2520" t="s">
        <v>297</v>
      </c>
      <c r="B59" s="2521"/>
      <c r="C59" s="2521"/>
      <c r="D59" s="2014">
        <v>2363</v>
      </c>
      <c r="E59" s="2013">
        <f>+'Expenditures 15-22'!K321</f>
        <v>0</v>
      </c>
      <c r="F59" s="2008"/>
      <c r="G59" s="2012"/>
      <c r="H59" s="2011"/>
      <c r="I59" s="2011"/>
      <c r="J59" s="2011"/>
      <c r="K59" s="2011"/>
      <c r="L59" s="2011"/>
      <c r="M59" s="2011"/>
      <c r="N59" s="2005">
        <f t="shared" si="3"/>
        <v>0</v>
      </c>
    </row>
    <row r="60" spans="1:14" ht="24.75" customHeight="1" x14ac:dyDescent="0.25">
      <c r="A60" s="2520" t="s">
        <v>236</v>
      </c>
      <c r="B60" s="2521"/>
      <c r="C60" s="2521"/>
      <c r="D60" s="2014">
        <v>2364</v>
      </c>
      <c r="E60" s="2013">
        <f>+'Expenditures 15-22'!K322</f>
        <v>59838</v>
      </c>
      <c r="F60" s="2008"/>
      <c r="G60" s="2012"/>
      <c r="H60" s="2011"/>
      <c r="I60" s="2011"/>
      <c r="J60" s="2011"/>
      <c r="K60" s="2011"/>
      <c r="L60" s="2011"/>
      <c r="M60" s="2011">
        <v>59838</v>
      </c>
      <c r="N60" s="2005">
        <f t="shared" si="3"/>
        <v>59838</v>
      </c>
    </row>
    <row r="61" spans="1:14" ht="24.75" customHeight="1" x14ac:dyDescent="0.25">
      <c r="A61" s="2520" t="s">
        <v>697</v>
      </c>
      <c r="B61" s="2521"/>
      <c r="C61" s="2521"/>
      <c r="D61" s="2014">
        <v>2365</v>
      </c>
      <c r="E61" s="2013">
        <f>+'Expenditures 15-22'!K323</f>
        <v>0</v>
      </c>
      <c r="F61" s="2008"/>
      <c r="G61" s="2012"/>
      <c r="H61" s="2011"/>
      <c r="I61" s="2011"/>
      <c r="J61" s="2011"/>
      <c r="K61" s="2011"/>
      <c r="L61" s="2011"/>
      <c r="M61" s="2011"/>
      <c r="N61" s="2005">
        <f t="shared" si="3"/>
        <v>0</v>
      </c>
    </row>
    <row r="62" spans="1:14" ht="24.75" customHeight="1" x14ac:dyDescent="0.25">
      <c r="A62" s="2520" t="s">
        <v>237</v>
      </c>
      <c r="B62" s="2521"/>
      <c r="C62" s="2521"/>
      <c r="D62" s="2014">
        <v>2366</v>
      </c>
      <c r="E62" s="2013">
        <f>+'Expenditures 15-22'!K324</f>
        <v>2501</v>
      </c>
      <c r="F62" s="2008"/>
      <c r="G62" s="2012"/>
      <c r="H62" s="2011"/>
      <c r="I62" s="2011"/>
      <c r="J62" s="2011"/>
      <c r="K62" s="2011"/>
      <c r="L62" s="2011"/>
      <c r="M62" s="2011">
        <v>2501</v>
      </c>
      <c r="N62" s="2005">
        <f t="shared" si="3"/>
        <v>2501</v>
      </c>
    </row>
    <row r="63" spans="1:14" ht="24.75" customHeight="1" x14ac:dyDescent="0.25">
      <c r="A63" s="2533" t="s">
        <v>1022</v>
      </c>
      <c r="B63" s="2534"/>
      <c r="C63" s="2534"/>
      <c r="D63" s="2014">
        <v>2367</v>
      </c>
      <c r="E63" s="2013">
        <f>+'Expenditures 15-22'!K325</f>
        <v>73591</v>
      </c>
      <c r="F63" s="2008"/>
      <c r="G63" s="2012"/>
      <c r="H63" s="2011"/>
      <c r="I63" s="2011"/>
      <c r="J63" s="2011"/>
      <c r="K63" s="2011"/>
      <c r="L63" s="2011"/>
      <c r="M63" s="2011">
        <v>73591</v>
      </c>
      <c r="N63" s="2005">
        <f t="shared" si="3"/>
        <v>73591</v>
      </c>
    </row>
    <row r="64" spans="1:14" ht="24.75" customHeight="1" x14ac:dyDescent="0.25">
      <c r="A64" s="2520" t="s">
        <v>1023</v>
      </c>
      <c r="B64" s="2521"/>
      <c r="C64" s="2521"/>
      <c r="D64" s="2014">
        <v>2368</v>
      </c>
      <c r="E64" s="2013">
        <f>+'Expenditures 15-22'!K326</f>
        <v>0</v>
      </c>
      <c r="F64" s="2008"/>
      <c r="G64" s="2012"/>
      <c r="H64" s="2011"/>
      <c r="I64" s="2011"/>
      <c r="J64" s="2011"/>
      <c r="K64" s="2011"/>
      <c r="L64" s="2011"/>
      <c r="M64" s="2011"/>
      <c r="N64" s="2005">
        <f t="shared" si="3"/>
        <v>0</v>
      </c>
    </row>
    <row r="65" spans="1:14" ht="24" customHeight="1" x14ac:dyDescent="0.25">
      <c r="A65" s="2520" t="s">
        <v>965</v>
      </c>
      <c r="B65" s="2521"/>
      <c r="C65" s="2521"/>
      <c r="D65" s="2014">
        <v>2369</v>
      </c>
      <c r="E65" s="2013">
        <f>+'Expenditures 15-22'!K327</f>
        <v>13628</v>
      </c>
      <c r="F65" s="2008"/>
      <c r="G65" s="2012"/>
      <c r="H65" s="2011"/>
      <c r="I65" s="2011"/>
      <c r="J65" s="2011"/>
      <c r="K65" s="2011"/>
      <c r="L65" s="2011"/>
      <c r="M65" s="2011">
        <v>13628</v>
      </c>
      <c r="N65" s="2005">
        <f t="shared" si="3"/>
        <v>13628</v>
      </c>
    </row>
    <row r="66" spans="1:14" ht="24.75" customHeight="1" x14ac:dyDescent="0.25">
      <c r="A66" s="2520" t="s">
        <v>469</v>
      </c>
      <c r="B66" s="2521"/>
      <c r="C66" s="2521"/>
      <c r="D66" s="2014">
        <v>2371</v>
      </c>
      <c r="E66" s="2013">
        <f>+'Expenditures 15-22'!K328</f>
        <v>0</v>
      </c>
      <c r="F66" s="2008"/>
      <c r="G66" s="2012"/>
      <c r="H66" s="2011"/>
      <c r="I66" s="2011"/>
      <c r="J66" s="2011"/>
      <c r="K66" s="2011"/>
      <c r="L66" s="2011"/>
      <c r="M66" s="2011"/>
      <c r="N66" s="2005">
        <f t="shared" si="3"/>
        <v>0</v>
      </c>
    </row>
    <row r="67" spans="1:14" ht="24.75" customHeight="1" x14ac:dyDescent="0.25">
      <c r="A67" s="2540" t="s">
        <v>2074</v>
      </c>
      <c r="B67" s="2541"/>
      <c r="C67" s="2541"/>
      <c r="D67" s="2010">
        <v>2372</v>
      </c>
      <c r="E67" s="2009">
        <f>+'Expenditures 15-22'!K329</f>
        <v>0</v>
      </c>
      <c r="F67" s="2008"/>
      <c r="G67" s="2007"/>
      <c r="H67" s="2006"/>
      <c r="I67" s="2006"/>
      <c r="J67" s="2006"/>
      <c r="K67" s="2006"/>
      <c r="L67" s="2006"/>
      <c r="M67" s="2006"/>
      <c r="N67" s="2005">
        <f t="shared" si="3"/>
        <v>0</v>
      </c>
    </row>
    <row r="68" spans="1:14" x14ac:dyDescent="0.25">
      <c r="A68" s="2542" t="s">
        <v>1153</v>
      </c>
      <c r="B68" s="2543"/>
      <c r="C68" s="2543"/>
      <c r="D68" s="2004"/>
      <c r="E68" s="2002">
        <f>SUM(E57:E67)</f>
        <v>150541</v>
      </c>
      <c r="F68" s="2003"/>
      <c r="G68" s="2002">
        <f t="shared" ref="G68:N68" si="4">SUM(G57:G67)</f>
        <v>0</v>
      </c>
      <c r="H68" s="2002">
        <f t="shared" si="4"/>
        <v>0</v>
      </c>
      <c r="I68" s="2002">
        <f t="shared" si="4"/>
        <v>0</v>
      </c>
      <c r="J68" s="2002">
        <f t="shared" si="4"/>
        <v>0</v>
      </c>
      <c r="K68" s="2002">
        <f t="shared" si="4"/>
        <v>0</v>
      </c>
      <c r="L68" s="2002">
        <f t="shared" si="4"/>
        <v>0</v>
      </c>
      <c r="M68" s="2002">
        <f t="shared" si="4"/>
        <v>150541</v>
      </c>
      <c r="N68" s="2001">
        <f t="shared" si="4"/>
        <v>150541</v>
      </c>
    </row>
    <row r="69" spans="1:14" x14ac:dyDescent="0.25">
      <c r="A69" s="1997"/>
      <c r="B69" s="1996"/>
      <c r="C69" s="1996"/>
      <c r="D69" s="1996"/>
      <c r="E69" s="1996"/>
      <c r="F69" s="1996"/>
      <c r="G69" s="1996"/>
      <c r="H69" s="2000" t="s">
        <v>2073</v>
      </c>
      <c r="I69" s="1996"/>
      <c r="J69" s="1996"/>
      <c r="K69" s="1996"/>
      <c r="L69" s="2000" t="s">
        <v>2072</v>
      </c>
      <c r="M69" s="1996"/>
      <c r="N69" s="1999"/>
    </row>
    <row r="70" spans="1:14" ht="46.5" customHeight="1" x14ac:dyDescent="0.25">
      <c r="A70" s="1998" t="s">
        <v>2071</v>
      </c>
      <c r="B70" s="1996"/>
      <c r="C70" s="1996"/>
      <c r="D70" s="1996"/>
      <c r="E70" s="1996"/>
      <c r="F70" s="1996"/>
      <c r="G70" s="1996"/>
      <c r="H70" s="2536" t="s">
        <v>2070</v>
      </c>
      <c r="I70" s="2536"/>
      <c r="J70" s="2536"/>
      <c r="K70" s="1996"/>
      <c r="L70" s="2536" t="s">
        <v>2069</v>
      </c>
      <c r="M70" s="2536"/>
      <c r="N70" s="2537"/>
    </row>
    <row r="71" spans="1:14" ht="42.75" customHeight="1" x14ac:dyDescent="0.25">
      <c r="A71" s="1997"/>
      <c r="B71" s="1996"/>
      <c r="C71" s="1996"/>
      <c r="D71" s="1996"/>
      <c r="E71" s="1996"/>
      <c r="F71" s="1996"/>
      <c r="G71" s="1996"/>
      <c r="H71" s="2536" t="s">
        <v>2068</v>
      </c>
      <c r="I71" s="2536"/>
      <c r="J71" s="2536"/>
      <c r="K71" s="1996"/>
      <c r="L71" s="2538" t="s">
        <v>2067</v>
      </c>
      <c r="M71" s="2538"/>
      <c r="N71" s="2539"/>
    </row>
    <row r="72" spans="1:14" ht="52.5" customHeight="1" thickBot="1" x14ac:dyDescent="0.3">
      <c r="A72" s="1995"/>
      <c r="B72" s="1994"/>
      <c r="C72" s="1994"/>
      <c r="D72" s="1994"/>
      <c r="E72" s="1994"/>
      <c r="F72" s="1994"/>
      <c r="G72" s="1994"/>
      <c r="H72" s="2535" t="s">
        <v>2066</v>
      </c>
      <c r="I72" s="2535"/>
      <c r="J72" s="2535"/>
      <c r="K72" s="1994"/>
      <c r="L72" s="1994"/>
      <c r="M72" s="1994"/>
      <c r="N72" s="1993"/>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colorId="8" zoomScaleNormal="100" workbookViewId="0">
      <selection activeCell="Q13" sqref="Q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549" t="str">
        <f>COVER!A17</f>
        <v>Earlville CUSD 9</v>
      </c>
      <c r="J6" s="2550"/>
      <c r="K6" s="2551"/>
      <c r="R6" s="1427"/>
    </row>
    <row r="7" spans="1:18" x14ac:dyDescent="0.2">
      <c r="A7" s="2552" t="s">
        <v>864</v>
      </c>
      <c r="B7" s="2553"/>
      <c r="C7" s="2553"/>
      <c r="D7" s="2553"/>
      <c r="E7" s="2554"/>
      <c r="F7" s="847"/>
      <c r="G7" s="839"/>
      <c r="H7" s="846" t="s">
        <v>369</v>
      </c>
      <c r="I7" s="2555">
        <f>COVER!A13</f>
        <v>35050009026</v>
      </c>
      <c r="J7" s="2555"/>
      <c r="K7" s="2555"/>
    </row>
    <row r="8" spans="1:18" ht="8.25" customHeight="1" x14ac:dyDescent="0.2">
      <c r="A8" s="1424"/>
      <c r="B8" s="1425"/>
      <c r="C8" s="1425"/>
      <c r="D8" s="1425"/>
      <c r="E8" s="1426"/>
      <c r="F8" s="848"/>
      <c r="G8" s="849"/>
      <c r="H8" s="849"/>
      <c r="I8" s="849"/>
      <c r="J8" s="1976"/>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556" t="s">
        <v>478</v>
      </c>
      <c r="B11" s="2557"/>
      <c r="C11" s="2558"/>
      <c r="D11" s="861" t="s">
        <v>866</v>
      </c>
      <c r="E11" s="861" t="s">
        <v>64</v>
      </c>
      <c r="F11" s="861" t="s">
        <v>6</v>
      </c>
      <c r="G11" s="862" t="s">
        <v>155</v>
      </c>
      <c r="H11" s="861" t="s">
        <v>64</v>
      </c>
      <c r="I11" s="861" t="s">
        <v>6</v>
      </c>
      <c r="J11" s="1979" t="s">
        <v>2004</v>
      </c>
      <c r="K11" s="862" t="s">
        <v>155</v>
      </c>
    </row>
    <row r="12" spans="1:18" ht="15" customHeight="1" x14ac:dyDescent="0.2">
      <c r="A12" s="863">
        <v>1</v>
      </c>
      <c r="B12" s="864" t="s">
        <v>813</v>
      </c>
      <c r="C12" s="865"/>
      <c r="D12" s="866">
        <v>2320</v>
      </c>
      <c r="E12" s="1863">
        <f>'Expenditures 15-22'!K50</f>
        <v>157631</v>
      </c>
      <c r="F12" s="1864"/>
      <c r="G12" s="1863">
        <f t="shared" ref="G12:G18" si="0">SUM(E12:F12)</f>
        <v>157631</v>
      </c>
      <c r="H12" s="1865">
        <v>190892</v>
      </c>
      <c r="I12" s="1864"/>
      <c r="J12" s="1865"/>
      <c r="K12" s="1863">
        <f t="shared" ref="K12:K18" si="1">SUM(H12:J12)</f>
        <v>190892</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17632</v>
      </c>
      <c r="F16" s="1864"/>
      <c r="G16" s="1863">
        <f t="shared" si="0"/>
        <v>17632</v>
      </c>
      <c r="H16" s="1865">
        <v>17500</v>
      </c>
      <c r="I16" s="1864"/>
      <c r="J16" s="1865"/>
      <c r="K16" s="1863">
        <f t="shared" si="1"/>
        <v>17500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59" t="s">
        <v>7</v>
      </c>
      <c r="C18" s="2502"/>
      <c r="D18" s="2503"/>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175263</v>
      </c>
      <c r="F19" s="1868">
        <f t="shared" si="2"/>
        <v>0</v>
      </c>
      <c r="G19" s="1868">
        <f t="shared" si="2"/>
        <v>175263</v>
      </c>
      <c r="H19" s="1868">
        <f t="shared" si="2"/>
        <v>208392</v>
      </c>
      <c r="I19" s="1868">
        <f t="shared" si="2"/>
        <v>0</v>
      </c>
      <c r="J19" s="1868">
        <f t="shared" si="2"/>
        <v>0</v>
      </c>
      <c r="K19" s="1868">
        <f t="shared" si="2"/>
        <v>208392</v>
      </c>
    </row>
    <row r="20" spans="1:11" ht="13.5" thickTop="1" x14ac:dyDescent="0.2">
      <c r="A20" s="863">
        <v>9</v>
      </c>
      <c r="B20" s="2560" t="str">
        <f>"Percent Increase (Decrease) for FY"&amp;'AFR20'!E2+1&amp;" (Budgeted) over FY"&amp;'AFR20'!E2&amp;" (Actual)"</f>
        <v>Percent Increase (Decrease) for FY2021 (Budgeted) over FY2020 (Actual)</v>
      </c>
      <c r="C20" s="2560"/>
      <c r="D20" s="2561"/>
      <c r="E20" s="1869"/>
      <c r="F20" s="1869"/>
      <c r="G20" s="1869"/>
      <c r="H20" s="1869"/>
      <c r="I20" s="1869"/>
      <c r="J20" s="1977"/>
      <c r="K20" s="1870">
        <f>IF(AND(G19&gt;0,K19&gt;0),(((K19-G19)/G19)),"Enter Budget Data")</f>
        <v>0.18902449461666182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65"/>
      <c r="D26" s="2565"/>
      <c r="E26" s="874"/>
      <c r="F26" s="2507"/>
      <c r="G26" s="2507"/>
    </row>
    <row r="27" spans="1:11" x14ac:dyDescent="0.2">
      <c r="B27" s="871"/>
      <c r="C27" s="875" t="s">
        <v>1026</v>
      </c>
      <c r="D27" s="876"/>
      <c r="E27" s="877"/>
      <c r="F27" s="2562" t="s">
        <v>1495</v>
      </c>
      <c r="G27" s="2562"/>
    </row>
    <row r="28" spans="1:11" ht="28.5" customHeight="1" x14ac:dyDescent="0.2">
      <c r="B28" s="871"/>
      <c r="C28" s="2564"/>
      <c r="D28" s="2564"/>
      <c r="E28" s="878"/>
      <c r="F28" s="2564"/>
      <c r="G28" s="2564"/>
    </row>
    <row r="29" spans="1:11" x14ac:dyDescent="0.2">
      <c r="B29" s="871"/>
      <c r="C29" s="879" t="s">
        <v>1547</v>
      </c>
      <c r="E29" s="880"/>
      <c r="F29" s="2563" t="s">
        <v>1496</v>
      </c>
      <c r="G29" s="2563"/>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546"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547"/>
      <c r="E33" s="2547"/>
      <c r="F33" s="2547"/>
      <c r="G33" s="2547"/>
      <c r="H33" s="2547"/>
      <c r="I33" s="2547"/>
      <c r="J33" s="1975"/>
    </row>
    <row r="34" spans="1:11" ht="10.35" customHeight="1" x14ac:dyDescent="0.2">
      <c r="C34" s="2547"/>
      <c r="D34" s="2547"/>
      <c r="E34" s="2547"/>
      <c r="F34" s="2547"/>
      <c r="G34" s="2547"/>
      <c r="H34" s="2547"/>
      <c r="I34" s="2547"/>
      <c r="J34" s="1975"/>
    </row>
    <row r="35" spans="1:11" ht="7.5" customHeight="1" x14ac:dyDescent="0.2">
      <c r="C35" s="886"/>
    </row>
    <row r="36" spans="1:11" ht="13.5" customHeight="1" x14ac:dyDescent="0.2">
      <c r="B36" s="885"/>
      <c r="C36" s="2548"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547"/>
      <c r="E36" s="2547"/>
      <c r="F36" s="2547"/>
      <c r="G36" s="2547"/>
      <c r="H36" s="2547"/>
      <c r="I36" s="2547"/>
      <c r="J36" s="1975"/>
      <c r="K36" s="887"/>
    </row>
    <row r="37" spans="1:11" ht="22.5" customHeight="1" x14ac:dyDescent="0.2">
      <c r="C37" s="2547"/>
      <c r="D37" s="2547"/>
      <c r="E37" s="2547"/>
      <c r="F37" s="2547"/>
      <c r="G37" s="2547"/>
      <c r="H37" s="2547"/>
      <c r="I37" s="2547"/>
      <c r="J37" s="1975"/>
      <c r="K37" s="887"/>
    </row>
    <row r="38" spans="1:11" ht="7.5" customHeight="1" x14ac:dyDescent="0.2">
      <c r="C38" s="886"/>
      <c r="D38" s="888"/>
      <c r="E38" s="889"/>
      <c r="F38" s="890"/>
      <c r="G38" s="889"/>
    </row>
    <row r="39" spans="1:11" ht="13.5" customHeight="1" x14ac:dyDescent="0.2">
      <c r="B39" s="885" t="s">
        <v>2050</v>
      </c>
      <c r="C39" s="2544" t="str">
        <f>"The district will amend their budget to become in compliance with the limitation."</f>
        <v>The district will amend their budget to become in compliance with the limitation.</v>
      </c>
      <c r="D39" s="2545"/>
      <c r="E39" s="2545"/>
      <c r="F39" s="2545"/>
      <c r="G39" s="2545"/>
      <c r="H39" s="2545"/>
      <c r="I39" s="2545"/>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5" t="s">
        <v>1058</v>
      </c>
      <c r="B35" s="2225"/>
      <c r="C35" s="2225"/>
      <c r="D35" s="2225"/>
      <c r="E35" s="222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2" t="s">
        <v>686</v>
      </c>
      <c r="B40" s="2222"/>
      <c r="C40" s="2222"/>
      <c r="D40" s="2222"/>
      <c r="E40" s="2222"/>
    </row>
    <row r="41" spans="1:5" x14ac:dyDescent="0.2">
      <c r="A41" s="2223" t="s">
        <v>1594</v>
      </c>
      <c r="B41" s="2223"/>
      <c r="C41" s="2223"/>
      <c r="D41" s="2223"/>
      <c r="E41" s="2223"/>
    </row>
    <row r="42" spans="1:5" ht="12.75" customHeight="1" x14ac:dyDescent="0.2">
      <c r="A42" s="2224" t="s">
        <v>1015</v>
      </c>
      <c r="B42" s="2224"/>
      <c r="C42" s="2224"/>
      <c r="D42" s="2224"/>
      <c r="E42" s="2224"/>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1" sqref="B11"/>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2054</v>
      </c>
    </row>
    <row r="6" spans="1:2" x14ac:dyDescent="0.2">
      <c r="A6" s="892">
        <v>2</v>
      </c>
      <c r="B6" s="307" t="s">
        <v>2055</v>
      </c>
    </row>
    <row r="7" spans="1:2" x14ac:dyDescent="0.2">
      <c r="A7" s="892">
        <v>3</v>
      </c>
      <c r="B7" s="307" t="s">
        <v>2058</v>
      </c>
    </row>
    <row r="8" spans="1:2" x14ac:dyDescent="0.2">
      <c r="A8" s="892">
        <v>4</v>
      </c>
      <c r="B8" s="307" t="s">
        <v>2056</v>
      </c>
    </row>
    <row r="9" spans="1:2" x14ac:dyDescent="0.2">
      <c r="A9" s="893">
        <v>5</v>
      </c>
      <c r="B9" s="307" t="s">
        <v>2057</v>
      </c>
    </row>
    <row r="10" spans="1:2" x14ac:dyDescent="0.2">
      <c r="A10" s="893">
        <v>6</v>
      </c>
      <c r="B10" s="307" t="s">
        <v>2060</v>
      </c>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Earlville CUSD 9</v>
      </c>
    </row>
    <row r="65" spans="2:2" x14ac:dyDescent="0.2">
      <c r="B65" s="894">
        <f>COVER!A13</f>
        <v>35050009026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3" sqref="A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566" t="s">
        <v>1668</v>
      </c>
      <c r="B18" s="2566"/>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7" t="s">
        <v>1672</v>
      </c>
      <c r="B1" s="2568"/>
      <c r="C1" s="2568"/>
      <c r="D1" s="2568"/>
      <c r="E1" s="2568"/>
      <c r="F1" s="2569"/>
    </row>
    <row r="2" spans="1:8" ht="45" customHeight="1" x14ac:dyDescent="0.2">
      <c r="A2" s="25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8"/>
      <c r="C2" s="2578"/>
      <c r="D2" s="2578"/>
      <c r="E2" s="2578"/>
      <c r="F2" s="2579"/>
      <c r="G2" s="898"/>
      <c r="H2" s="898"/>
    </row>
    <row r="3" spans="1:8" ht="57" customHeight="1" x14ac:dyDescent="0.2">
      <c r="A3" s="2580" t="s">
        <v>1975</v>
      </c>
      <c r="B3" s="2581"/>
      <c r="C3" s="2581"/>
      <c r="D3" s="2581"/>
      <c r="E3" s="2581"/>
      <c r="F3" s="2582"/>
      <c r="G3" s="898"/>
      <c r="H3" s="898"/>
    </row>
    <row r="4" spans="1:8" ht="14.25" customHeight="1" x14ac:dyDescent="0.2">
      <c r="A4" s="25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7"/>
      <c r="C4" s="2587"/>
      <c r="D4" s="2587"/>
      <c r="E4" s="2587"/>
      <c r="F4" s="2588"/>
      <c r="G4" s="898"/>
      <c r="H4" s="898"/>
    </row>
    <row r="5" spans="1:8" ht="14.25" customHeight="1" x14ac:dyDescent="0.2">
      <c r="A5" s="25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0"/>
      <c r="C5" s="2590"/>
      <c r="D5" s="2590"/>
      <c r="E5" s="2590"/>
      <c r="F5" s="2591"/>
      <c r="G5" s="898"/>
      <c r="H5" s="898"/>
    </row>
    <row r="6" spans="1:8" s="899" customFormat="1" ht="41.25" customHeight="1" x14ac:dyDescent="0.2">
      <c r="A6" s="2583" t="s">
        <v>1673</v>
      </c>
      <c r="B6" s="2584"/>
      <c r="C6" s="2584"/>
      <c r="D6" s="2584"/>
      <c r="E6" s="2584"/>
      <c r="F6" s="2585"/>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4720085</v>
      </c>
      <c r="C8" s="1871">
        <f>'Acct Summary 7-8'!D8</f>
        <v>486278</v>
      </c>
      <c r="D8" s="1871">
        <f>'Acct Summary 7-8'!F8</f>
        <v>240334</v>
      </c>
      <c r="E8" s="1871">
        <f>'Acct Summary 7-8'!I8</f>
        <v>32655</v>
      </c>
      <c r="F8" s="1871">
        <f>SUM(B8:E8)</f>
        <v>5479352</v>
      </c>
    </row>
    <row r="9" spans="1:8" s="903" customFormat="1" ht="14.25" customHeight="1" thickBot="1" x14ac:dyDescent="0.25">
      <c r="A9" s="902" t="s">
        <v>1355</v>
      </c>
      <c r="B9" s="1872">
        <f>'Acct Summary 7-8'!C17</f>
        <v>4193833</v>
      </c>
      <c r="C9" s="1872">
        <f>'Acct Summary 7-8'!D17</f>
        <v>439874</v>
      </c>
      <c r="D9" s="1872">
        <f>'Acct Summary 7-8'!F17</f>
        <v>161657</v>
      </c>
      <c r="E9" s="1871"/>
      <c r="F9" s="1871">
        <f>SUM(B9:E9)</f>
        <v>4795364</v>
      </c>
    </row>
    <row r="10" spans="1:8" s="903" customFormat="1" ht="14.25" thickTop="1" thickBot="1" x14ac:dyDescent="0.25">
      <c r="A10" s="904" t="s">
        <v>1356</v>
      </c>
      <c r="B10" s="1873">
        <f>(B8-B9)</f>
        <v>526252</v>
      </c>
      <c r="C10" s="1873">
        <f>(C8-C9)</f>
        <v>46404</v>
      </c>
      <c r="D10" s="1873">
        <f>(D8-D9)</f>
        <v>78677</v>
      </c>
      <c r="E10" s="1872">
        <f>(E8-E9)</f>
        <v>32655</v>
      </c>
      <c r="F10" s="1874">
        <f>SUM(F8-F9)</f>
        <v>683988</v>
      </c>
    </row>
    <row r="11" spans="1:8" s="903" customFormat="1" ht="14.25" thickTop="1" thickBot="1" x14ac:dyDescent="0.25">
      <c r="A11" s="905" t="s">
        <v>1906</v>
      </c>
      <c r="B11" s="1875">
        <f>'Acct Summary 7-8'!C81</f>
        <v>3894376</v>
      </c>
      <c r="C11" s="1875">
        <f>'Acct Summary 7-8'!D81</f>
        <v>747819</v>
      </c>
      <c r="D11" s="1875">
        <f>'Acct Summary 7-8'!F81</f>
        <v>642461</v>
      </c>
      <c r="E11" s="1875">
        <f>'Acct Summary 7-8'!I81</f>
        <v>132942</v>
      </c>
      <c r="F11" s="1876">
        <f>SUM(B11:E11)</f>
        <v>5417598</v>
      </c>
    </row>
    <row r="12" spans="1:8" ht="16.5" customHeight="1" thickTop="1" x14ac:dyDescent="0.2">
      <c r="A12" s="906"/>
      <c r="B12" s="907"/>
      <c r="C12" s="2571" t="str">
        <f>IF(AND(F10&lt;0,F11&gt;=0,ABS(F10*3)&gt;ABS(F11)),A16,IF(AND(F10&lt;0,F11&gt;0,ABS(F10*3)&lt;=ABS(F11)),A17,IF(AND(F10&lt;0,F11&lt;0),A16,IF(F11=0,A19,A18))))</f>
        <v>Balanced - no deficit reduction plan is required.</v>
      </c>
      <c r="D12" s="2572"/>
      <c r="E12" s="2572"/>
      <c r="F12" s="2573"/>
    </row>
    <row r="13" spans="1:8" ht="19.5" customHeight="1" x14ac:dyDescent="0.2">
      <c r="A13" s="908"/>
      <c r="B13" s="909"/>
      <c r="C13" s="2571"/>
      <c r="D13" s="2572"/>
      <c r="E13" s="2572"/>
      <c r="F13" s="2573"/>
      <c r="H13" s="898"/>
    </row>
    <row r="14" spans="1:8" ht="19.5" customHeight="1" x14ac:dyDescent="0.2">
      <c r="A14" s="908"/>
      <c r="B14" s="909"/>
      <c r="C14" s="2571"/>
      <c r="D14" s="2572"/>
      <c r="E14" s="2572"/>
      <c r="F14" s="2573"/>
      <c r="H14" s="898"/>
    </row>
    <row r="15" spans="1:8" ht="17.25" customHeight="1" x14ac:dyDescent="0.2">
      <c r="A15" s="908"/>
      <c r="B15" s="909"/>
      <c r="C15" s="2574"/>
      <c r="D15" s="2575"/>
      <c r="E15" s="2575"/>
      <c r="F15" s="2576"/>
      <c r="H15" s="898"/>
    </row>
    <row r="16" spans="1:8" s="288" customFormat="1" ht="51.75" hidden="1" customHeight="1" x14ac:dyDescent="0.2">
      <c r="A16" s="2570" t="s">
        <v>1669</v>
      </c>
      <c r="B16" s="2570"/>
      <c r="C16" s="2570"/>
      <c r="D16" s="2570"/>
      <c r="E16" s="2570"/>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54" sqref="D54"/>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2" t="s">
        <v>660</v>
      </c>
      <c r="B3" s="2593"/>
      <c r="C3" s="2593"/>
      <c r="D3" s="2594"/>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3" t="s">
        <v>1490</v>
      </c>
      <c r="D7" s="2604"/>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5" t="s">
        <v>1001</v>
      </c>
      <c r="B15" s="2596"/>
      <c r="C15" s="2596"/>
      <c r="D15" s="2597"/>
    </row>
    <row r="16" spans="1:4" s="542" customFormat="1" ht="24" customHeight="1" x14ac:dyDescent="0.2">
      <c r="A16" s="2598" t="s">
        <v>658</v>
      </c>
      <c r="B16" s="2599"/>
      <c r="C16" s="2599"/>
      <c r="D16" s="2600"/>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7" t="s">
        <v>311</v>
      </c>
      <c r="D21" s="2608"/>
    </row>
    <row r="22" spans="1:10" ht="12.75" x14ac:dyDescent="0.2">
      <c r="A22" s="963"/>
      <c r="B22" s="964">
        <v>2</v>
      </c>
      <c r="C22" s="2605" t="s">
        <v>1510</v>
      </c>
      <c r="D22" s="2606"/>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9" t="s">
        <v>533</v>
      </c>
      <c r="D43" s="2610"/>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ERROR!</v>
      </c>
    </row>
    <row r="55" spans="1:4" x14ac:dyDescent="0.2">
      <c r="A55" s="943"/>
      <c r="B55" s="945"/>
      <c r="C55" s="946" t="s">
        <v>1337</v>
      </c>
      <c r="D55" s="947" t="str">
        <f>IF(SUM('Assets-Liab 5-6'!N23)&lt;&gt;('Assets-Liab 5-6'!N41),"ERROR!","OK")</f>
        <v>ERROR!</v>
      </c>
    </row>
    <row r="56" spans="1:4" x14ac:dyDescent="0.2">
      <c r="A56" s="924"/>
      <c r="B56" s="944">
        <f>B43+1</f>
        <v>6</v>
      </c>
      <c r="C56" s="2601" t="s">
        <v>779</v>
      </c>
      <c r="D56" s="2602"/>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601" t="s">
        <v>1677</v>
      </c>
      <c r="D70" s="2602"/>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3" t="str">
        <f>IF('Contracts Paid in CY 29'!$D$143&gt;0,"OK","PLEASE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2" t="s">
        <v>1981</v>
      </c>
    </row>
    <row r="2" spans="1:7" ht="15.75" x14ac:dyDescent="0.25">
      <c r="A2" t="s">
        <v>260</v>
      </c>
      <c r="B2" s="135">
        <f>COVER!A13</f>
        <v>35050009026</v>
      </c>
      <c r="E2" s="1592">
        <v>2020</v>
      </c>
      <c r="F2" s="1592">
        <v>1</v>
      </c>
      <c r="G2" s="1961">
        <v>101000300</v>
      </c>
    </row>
    <row r="3" spans="1:7" ht="15" x14ac:dyDescent="0.25">
      <c r="A3" t="s">
        <v>950</v>
      </c>
      <c r="B3" s="135" t="str">
        <f>COVER!A15</f>
        <v>LaSalle, DeKalb, and Lee</v>
      </c>
      <c r="E3" s="1888" t="s">
        <v>1974</v>
      </c>
      <c r="F3" s="1888" t="s">
        <v>1973</v>
      </c>
      <c r="G3" s="1961">
        <v>101000400</v>
      </c>
    </row>
    <row r="4" spans="1:7" ht="15" x14ac:dyDescent="0.25">
      <c r="A4" t="s">
        <v>1000</v>
      </c>
      <c r="B4" s="135" t="str">
        <f>COVER!A17</f>
        <v>Earlville CUSD 9</v>
      </c>
      <c r="E4" s="1886">
        <v>44119</v>
      </c>
      <c r="F4" s="1887">
        <v>44151</v>
      </c>
      <c r="G4" s="1961">
        <v>101000600</v>
      </c>
    </row>
    <row r="5" spans="1:7" ht="15" x14ac:dyDescent="0.25">
      <c r="A5" t="s">
        <v>699</v>
      </c>
      <c r="B5" s="135" t="str">
        <f>COVER!A38</f>
        <v>Rich Faivre</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f>COVER!T38</f>
        <v>0</v>
      </c>
      <c r="G8" s="1961">
        <v>102100600</v>
      </c>
    </row>
    <row r="9" spans="1:7" ht="15" x14ac:dyDescent="0.25">
      <c r="A9" s="3" t="s">
        <v>951</v>
      </c>
      <c r="B9" s="153" t="str">
        <f>AUDITCHECK!D23</f>
        <v>CASH</v>
      </c>
      <c r="G9" s="1961">
        <v>102100800</v>
      </c>
    </row>
    <row r="10" spans="1:7" ht="15" x14ac:dyDescent="0.25">
      <c r="A10" t="s">
        <v>970</v>
      </c>
      <c r="B10" s="135" t="str">
        <f>COVER!B5</f>
        <v>x</v>
      </c>
      <c r="G10" s="1961">
        <v>202100300</v>
      </c>
    </row>
    <row r="11" spans="1:7" ht="15" x14ac:dyDescent="0.25">
      <c r="A11" t="s">
        <v>971</v>
      </c>
      <c r="B11" s="135">
        <f>COVER!B6</f>
        <v>0</v>
      </c>
      <c r="G11" s="1961">
        <v>202100400</v>
      </c>
    </row>
    <row r="12" spans="1:7" ht="15" x14ac:dyDescent="0.25">
      <c r="A12" s="1" t="s">
        <v>1529</v>
      </c>
      <c r="B12" s="135" t="str">
        <f>IF(COVER!J29="x","Yes",IF(COVER!L29="X","No",0))</f>
        <v>No</v>
      </c>
      <c r="G12" s="1961">
        <v>202100600</v>
      </c>
    </row>
    <row r="13" spans="1:7" ht="15" x14ac:dyDescent="0.25">
      <c r="A13" s="1" t="s">
        <v>1530</v>
      </c>
      <c r="B13" s="135" t="str">
        <f>IF(COVER!J30="x","Yes",IF(COVER!L30="x","No",0))</f>
        <v>No</v>
      </c>
      <c r="G13" s="1961">
        <v>202100800</v>
      </c>
    </row>
    <row r="14" spans="1:7" ht="15" x14ac:dyDescent="0.25">
      <c r="A14" t="s">
        <v>473</v>
      </c>
      <c r="B14" s="135" t="str">
        <f>IF(COVER!J31="x","Yes",IF(COVER!L31="x","No",0))</f>
        <v>No</v>
      </c>
      <c r="G14" s="1961">
        <v>402100300</v>
      </c>
    </row>
    <row r="15" spans="1:7" ht="15" x14ac:dyDescent="0.25">
      <c r="A15" t="s">
        <v>573</v>
      </c>
      <c r="B15" s="135" t="str">
        <f>COVER!T23</f>
        <v>065-029342</v>
      </c>
      <c r="G15" s="1961">
        <v>402100400</v>
      </c>
    </row>
    <row r="16" spans="1:7" ht="15" x14ac:dyDescent="0.25">
      <c r="A16" t="s">
        <v>419</v>
      </c>
      <c r="B16" s="135" t="str">
        <f>COVER!T13</f>
        <v>Mack &amp; Associates, P.C.</v>
      </c>
      <c r="G16" s="1961">
        <v>402100600</v>
      </c>
    </row>
    <row r="17" spans="1:7" ht="15" x14ac:dyDescent="0.25">
      <c r="A17" t="s">
        <v>878</v>
      </c>
      <c r="B17" s="135" t="str">
        <f>COVER!T15</f>
        <v>Tawnya Mack, CPA</v>
      </c>
      <c r="G17" s="1961">
        <v>402100800</v>
      </c>
    </row>
    <row r="18" spans="1:7" ht="15" x14ac:dyDescent="0.25">
      <c r="A18" t="s">
        <v>1142</v>
      </c>
      <c r="B18" s="135" t="str">
        <f>COVER!T17</f>
        <v>116 E Washington St., Suite 1</v>
      </c>
      <c r="G18" s="1961">
        <v>102200300</v>
      </c>
    </row>
    <row r="19" spans="1:7" ht="15" x14ac:dyDescent="0.25">
      <c r="A19" t="s">
        <v>880</v>
      </c>
      <c r="B19" s="135" t="str">
        <f>COVER!T25</f>
        <v>tmack@mackcpas.com</v>
      </c>
      <c r="G19" s="1961">
        <v>102200400</v>
      </c>
    </row>
    <row r="20" spans="1:7" ht="15" x14ac:dyDescent="0.25">
      <c r="A20" t="s">
        <v>881</v>
      </c>
      <c r="B20" s="135" t="str">
        <f>COVER!T19</f>
        <v>Morris</v>
      </c>
      <c r="G20" s="1961">
        <v>102200600</v>
      </c>
    </row>
    <row r="21" spans="1:7" ht="15" x14ac:dyDescent="0.25">
      <c r="A21" t="s">
        <v>476</v>
      </c>
      <c r="B21" s="135" t="str">
        <f>COVER!X19</f>
        <v>IL</v>
      </c>
      <c r="G21" s="1961">
        <v>102200800</v>
      </c>
    </row>
    <row r="22" spans="1:7" ht="15" x14ac:dyDescent="0.25">
      <c r="A22" t="s">
        <v>882</v>
      </c>
      <c r="B22" s="135">
        <f>COVER!Z19</f>
        <v>60450</v>
      </c>
      <c r="G22" s="1961">
        <v>102300300</v>
      </c>
    </row>
    <row r="23" spans="1:7" ht="15" x14ac:dyDescent="0.25">
      <c r="A23" t="s">
        <v>1144</v>
      </c>
      <c r="B23" s="135" t="str">
        <f>COVER!T21</f>
        <v>815-942-3306</v>
      </c>
      <c r="G23" s="1961">
        <v>102300400</v>
      </c>
    </row>
    <row r="24" spans="1:7" ht="15" x14ac:dyDescent="0.25">
      <c r="A24" t="s">
        <v>1143</v>
      </c>
      <c r="B24" s="135">
        <f>COVER!Y21</f>
        <v>0</v>
      </c>
      <c r="G24" s="1961">
        <v>102300600</v>
      </c>
    </row>
    <row r="25" spans="1:7" ht="15" x14ac:dyDescent="0.25">
      <c r="A25" t="s">
        <v>756</v>
      </c>
      <c r="B25" s="135">
        <f>COVER!B34</f>
        <v>0</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0</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0</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0</v>
      </c>
      <c r="G49" s="1961">
        <v>102540800</v>
      </c>
    </row>
    <row r="50" spans="1:7" ht="15" x14ac:dyDescent="0.25">
      <c r="A50" s="1" t="s">
        <v>1466</v>
      </c>
      <c r="B50" s="146">
        <f>'Aud Quest 2'!H53</f>
        <v>0</v>
      </c>
      <c r="G50" s="1961">
        <v>202540300</v>
      </c>
    </row>
    <row r="51" spans="1:7" ht="15" x14ac:dyDescent="0.25">
      <c r="A51" s="1" t="s">
        <v>1468</v>
      </c>
      <c r="B51" s="135" t="str">
        <f>IF('Aud Quest 2'!B54="x","Yes",IF('Aud Quest 2'!B54&lt;&gt;"x","0"))</f>
        <v>0</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90"/>
      <c r="D62" s="2" t="str">
        <f>IF(ISBLANK(B62),"OK",IF(A62-B62=0,"OK","Error?"))</f>
        <v>OK</v>
      </c>
      <c r="G62" s="1961">
        <v>202550300</v>
      </c>
    </row>
    <row r="63" spans="1:7" ht="15" x14ac:dyDescent="0.25">
      <c r="A63" s="10">
        <v>2</v>
      </c>
      <c r="B63" s="1890"/>
      <c r="D63" s="2" t="str">
        <f t="shared" ref="D63:D126" si="0">IF(ISBLANK(B63),"OK",IF(A63-B63=0,"OK","Error?"))</f>
        <v>OK</v>
      </c>
      <c r="G63" s="1961">
        <v>202550400</v>
      </c>
    </row>
    <row r="64" spans="1:7" ht="15" x14ac:dyDescent="0.25">
      <c r="A64" s="10">
        <v>3</v>
      </c>
      <c r="B64" s="1890"/>
      <c r="D64" s="2" t="str">
        <f t="shared" si="0"/>
        <v>OK</v>
      </c>
      <c r="G64" s="1961">
        <v>202550600</v>
      </c>
    </row>
    <row r="65" spans="1:7" ht="15" x14ac:dyDescent="0.25">
      <c r="A65" s="5">
        <v>4</v>
      </c>
      <c r="B65" s="1890">
        <f>'Assets-Liab 5-6'!C6</f>
        <v>0</v>
      </c>
      <c r="D65" s="2" t="str">
        <f t="shared" si="0"/>
        <v>Error?</v>
      </c>
      <c r="G65" s="1961">
        <v>202550800</v>
      </c>
    </row>
    <row r="66" spans="1:7" ht="15" x14ac:dyDescent="0.25">
      <c r="A66" s="10">
        <v>5</v>
      </c>
      <c r="B66" s="1890"/>
      <c r="D66" s="2" t="str">
        <f t="shared" si="0"/>
        <v>OK</v>
      </c>
      <c r="G66" s="1961">
        <v>402550300</v>
      </c>
    </row>
    <row r="67" spans="1:7" ht="15" x14ac:dyDescent="0.25">
      <c r="A67" s="10">
        <v>6</v>
      </c>
      <c r="B67" s="1890"/>
      <c r="D67" s="2" t="str">
        <f t="shared" si="0"/>
        <v>OK</v>
      </c>
      <c r="G67" s="1961">
        <v>402550400</v>
      </c>
    </row>
    <row r="68" spans="1:7" ht="15" x14ac:dyDescent="0.25">
      <c r="A68" s="10">
        <v>7</v>
      </c>
      <c r="B68" s="1890"/>
      <c r="D68" s="2" t="str">
        <f t="shared" si="0"/>
        <v>OK</v>
      </c>
      <c r="G68" s="1961">
        <v>402550600</v>
      </c>
    </row>
    <row r="69" spans="1:7" ht="15" x14ac:dyDescent="0.25">
      <c r="A69" s="10">
        <v>8</v>
      </c>
      <c r="B69" s="1890"/>
      <c r="D69" s="2" t="str">
        <f t="shared" si="0"/>
        <v>OK</v>
      </c>
      <c r="G69" s="1961">
        <v>402550800</v>
      </c>
    </row>
    <row r="70" spans="1:7" ht="15" x14ac:dyDescent="0.25">
      <c r="A70" s="10">
        <v>9</v>
      </c>
      <c r="B70" s="1890"/>
      <c r="D70" s="2" t="str">
        <f t="shared" si="0"/>
        <v>OK</v>
      </c>
      <c r="G70" s="1961">
        <v>102560300</v>
      </c>
    </row>
    <row r="71" spans="1:7" ht="15" x14ac:dyDescent="0.25">
      <c r="A71" s="10">
        <v>10</v>
      </c>
      <c r="B71" s="1890"/>
      <c r="D71" s="2" t="str">
        <f t="shared" si="0"/>
        <v>OK</v>
      </c>
      <c r="G71" s="1961">
        <v>102560400</v>
      </c>
    </row>
    <row r="72" spans="1:7" ht="15" x14ac:dyDescent="0.25">
      <c r="A72" s="5">
        <v>11</v>
      </c>
      <c r="B72" s="1890">
        <f>'Assets-Liab 5-6'!C10</f>
        <v>0</v>
      </c>
      <c r="D72" s="2" t="str">
        <f t="shared" si="0"/>
        <v>Error?</v>
      </c>
      <c r="G72" s="1961">
        <v>102560600</v>
      </c>
    </row>
    <row r="73" spans="1:7" ht="15" x14ac:dyDescent="0.25">
      <c r="A73" s="5">
        <v>12</v>
      </c>
      <c r="B73" s="1890">
        <f>'Assets-Liab 5-6'!C5</f>
        <v>1574548</v>
      </c>
      <c r="D73" s="2" t="str">
        <f t="shared" si="0"/>
        <v>Error?</v>
      </c>
      <c r="G73" s="1961">
        <v>102560800</v>
      </c>
    </row>
    <row r="74" spans="1:7" ht="15" x14ac:dyDescent="0.25">
      <c r="A74" s="10">
        <v>13</v>
      </c>
      <c r="B74" s="1890"/>
      <c r="D74" s="2" t="str">
        <f t="shared" si="0"/>
        <v>OK</v>
      </c>
      <c r="G74" s="1961">
        <v>102570300</v>
      </c>
    </row>
    <row r="75" spans="1:7" ht="15" x14ac:dyDescent="0.25">
      <c r="A75" s="10">
        <v>14</v>
      </c>
      <c r="B75" s="1890"/>
      <c r="D75" s="2" t="str">
        <f t="shared" si="0"/>
        <v>OK</v>
      </c>
      <c r="G75" s="1961">
        <v>102570400</v>
      </c>
    </row>
    <row r="76" spans="1:7" ht="15" x14ac:dyDescent="0.25">
      <c r="A76" s="5">
        <v>15</v>
      </c>
      <c r="B76" s="1890">
        <f>'Assets-Liab 5-6'!C12</f>
        <v>0</v>
      </c>
      <c r="D76" s="2" t="str">
        <f t="shared" si="0"/>
        <v>Error?</v>
      </c>
      <c r="G76" s="1961">
        <v>102570600</v>
      </c>
    </row>
    <row r="77" spans="1:7" ht="15" x14ac:dyDescent="0.25">
      <c r="A77" s="5">
        <v>16</v>
      </c>
      <c r="B77" s="1890">
        <f>'Assets-Liab 5-6'!C13</f>
        <v>3894376</v>
      </c>
      <c r="C77" s="2" t="s">
        <v>569</v>
      </c>
      <c r="D77" s="2" t="str">
        <f t="shared" si="0"/>
        <v>Error?</v>
      </c>
      <c r="G77" s="1961">
        <v>102570800</v>
      </c>
    </row>
    <row r="78" spans="1:7" ht="15" x14ac:dyDescent="0.25">
      <c r="A78" s="10">
        <v>17</v>
      </c>
      <c r="B78" s="1890"/>
      <c r="D78" s="2" t="str">
        <f t="shared" si="0"/>
        <v>OK</v>
      </c>
      <c r="G78" s="1961">
        <v>102610300</v>
      </c>
    </row>
    <row r="79" spans="1:7" ht="15" x14ac:dyDescent="0.25">
      <c r="A79" s="10">
        <v>18</v>
      </c>
      <c r="B79" s="1890"/>
      <c r="D79" s="2" t="str">
        <f t="shared" si="0"/>
        <v>OK</v>
      </c>
      <c r="G79" s="1961">
        <v>102610400</v>
      </c>
    </row>
    <row r="80" spans="1:7" ht="15" x14ac:dyDescent="0.25">
      <c r="A80" s="10">
        <v>19</v>
      </c>
      <c r="B80" s="1890"/>
      <c r="D80" s="2" t="str">
        <f t="shared" si="0"/>
        <v>OK</v>
      </c>
      <c r="G80" s="1961">
        <v>102610600</v>
      </c>
    </row>
    <row r="81" spans="1:7" ht="15" x14ac:dyDescent="0.25">
      <c r="A81" s="10">
        <v>20</v>
      </c>
      <c r="B81" s="1890"/>
      <c r="D81" s="2" t="str">
        <f t="shared" si="0"/>
        <v>OK</v>
      </c>
      <c r="G81" s="1961">
        <v>102610800</v>
      </c>
    </row>
    <row r="82" spans="1:7" ht="15" x14ac:dyDescent="0.25">
      <c r="A82" s="10">
        <v>21</v>
      </c>
      <c r="B82" s="1890"/>
      <c r="D82" s="2" t="str">
        <f t="shared" si="0"/>
        <v>OK</v>
      </c>
      <c r="G82" s="1961">
        <v>102620300</v>
      </c>
    </row>
    <row r="83" spans="1:7" ht="15" x14ac:dyDescent="0.25">
      <c r="A83" s="10">
        <v>22</v>
      </c>
      <c r="B83" s="1890"/>
      <c r="D83" s="2" t="str">
        <f t="shared" si="0"/>
        <v>OK</v>
      </c>
      <c r="G83" s="1961">
        <v>102620400</v>
      </c>
    </row>
    <row r="84" spans="1:7" ht="15" x14ac:dyDescent="0.25">
      <c r="A84" s="10">
        <v>23</v>
      </c>
      <c r="B84" s="1890"/>
      <c r="D84" s="2" t="str">
        <f t="shared" si="0"/>
        <v>OK</v>
      </c>
      <c r="G84" s="1961">
        <v>102620600</v>
      </c>
    </row>
    <row r="85" spans="1:7" ht="15" x14ac:dyDescent="0.25">
      <c r="A85" s="10">
        <v>24</v>
      </c>
      <c r="B85" s="1890"/>
      <c r="D85" s="2" t="str">
        <f t="shared" si="0"/>
        <v>OK</v>
      </c>
      <c r="G85" s="1961">
        <v>102620800</v>
      </c>
    </row>
    <row r="86" spans="1:7" ht="15" x14ac:dyDescent="0.25">
      <c r="A86" s="12">
        <v>25</v>
      </c>
      <c r="B86" s="1890">
        <f>'Assets-Liab 5-6'!C31</f>
        <v>0</v>
      </c>
      <c r="D86" s="2" t="str">
        <f t="shared" si="0"/>
        <v>Error?</v>
      </c>
      <c r="G86" s="1961">
        <v>102630300</v>
      </c>
    </row>
    <row r="87" spans="1:7" ht="15" x14ac:dyDescent="0.25">
      <c r="A87" s="10">
        <v>26</v>
      </c>
      <c r="B87" s="1890"/>
      <c r="D87" s="2" t="str">
        <f t="shared" si="0"/>
        <v>OK</v>
      </c>
      <c r="G87" s="1961">
        <v>102630400</v>
      </c>
    </row>
    <row r="88" spans="1:7" ht="15" x14ac:dyDescent="0.25">
      <c r="A88" s="5">
        <v>27</v>
      </c>
      <c r="B88" s="1890">
        <f>'Assets-Liab 5-6'!C32</f>
        <v>0</v>
      </c>
      <c r="D88" s="2" t="str">
        <f t="shared" si="0"/>
        <v>Error?</v>
      </c>
      <c r="G88" s="1961">
        <v>102630600</v>
      </c>
    </row>
    <row r="89" spans="1:7" ht="15" x14ac:dyDescent="0.25">
      <c r="A89" s="10">
        <v>28</v>
      </c>
      <c r="B89" s="1890"/>
      <c r="D89" s="2" t="str">
        <f t="shared" si="0"/>
        <v>OK</v>
      </c>
      <c r="G89" s="1961">
        <v>102630800</v>
      </c>
    </row>
    <row r="90" spans="1:7" ht="15" x14ac:dyDescent="0.25">
      <c r="A90" s="10">
        <v>29</v>
      </c>
      <c r="B90" s="1890"/>
      <c r="D90" s="2" t="str">
        <f t="shared" si="0"/>
        <v>OK</v>
      </c>
      <c r="G90" s="1961">
        <v>102640300</v>
      </c>
    </row>
    <row r="91" spans="1:7" ht="15" x14ac:dyDescent="0.25">
      <c r="A91" s="5">
        <v>30</v>
      </c>
      <c r="B91" s="1890">
        <f>'Assets-Liab 5-6'!C34</f>
        <v>0</v>
      </c>
      <c r="C91" s="2" t="s">
        <v>569</v>
      </c>
      <c r="D91" s="2" t="str">
        <f t="shared" si="0"/>
        <v>Error?</v>
      </c>
      <c r="G91" s="1961">
        <v>102640400</v>
      </c>
    </row>
    <row r="92" spans="1:7" ht="15" x14ac:dyDescent="0.25">
      <c r="A92" s="5">
        <v>31</v>
      </c>
      <c r="B92" s="1890">
        <f>'Assets-Liab 5-6'!C39</f>
        <v>3598562</v>
      </c>
      <c r="D92" s="2" t="str">
        <f t="shared" si="0"/>
        <v>Error?</v>
      </c>
      <c r="G92" s="1961">
        <v>102640600</v>
      </c>
    </row>
    <row r="93" spans="1:7" ht="15" x14ac:dyDescent="0.25">
      <c r="A93" s="5">
        <v>32</v>
      </c>
      <c r="B93" s="1890">
        <f>'Assets-Liab 5-6'!C41</f>
        <v>3894376</v>
      </c>
      <c r="C93" s="2" t="s">
        <v>569</v>
      </c>
      <c r="D93" s="2" t="str">
        <f t="shared" si="0"/>
        <v>Error?</v>
      </c>
      <c r="G93" s="1961">
        <v>102640800</v>
      </c>
    </row>
    <row r="94" spans="1:7" ht="15" x14ac:dyDescent="0.25">
      <c r="A94" s="10">
        <v>33</v>
      </c>
      <c r="B94" s="1890"/>
      <c r="D94" s="2" t="str">
        <f t="shared" si="0"/>
        <v>OK</v>
      </c>
      <c r="G94" s="1961">
        <v>102660300</v>
      </c>
    </row>
    <row r="95" spans="1:7" ht="15" x14ac:dyDescent="0.25">
      <c r="A95" s="10">
        <v>34</v>
      </c>
      <c r="B95" s="1890"/>
      <c r="D95" s="2" t="str">
        <f t="shared" si="0"/>
        <v>OK</v>
      </c>
      <c r="G95" s="1961">
        <v>102660400</v>
      </c>
    </row>
    <row r="96" spans="1:7" ht="15" x14ac:dyDescent="0.25">
      <c r="A96" s="10">
        <v>35</v>
      </c>
      <c r="B96" s="1890"/>
      <c r="D96" s="2" t="str">
        <f t="shared" si="0"/>
        <v>OK</v>
      </c>
      <c r="G96" s="1961">
        <v>102660600</v>
      </c>
    </row>
    <row r="97" spans="1:7" ht="15" x14ac:dyDescent="0.25">
      <c r="A97" s="5">
        <v>36</v>
      </c>
      <c r="B97" s="1890">
        <f>'Assets-Liab 5-6'!D6</f>
        <v>0</v>
      </c>
      <c r="D97" s="2" t="str">
        <f t="shared" si="0"/>
        <v>Error?</v>
      </c>
      <c r="G97" s="1961">
        <v>102660800</v>
      </c>
    </row>
    <row r="98" spans="1:7" ht="15" x14ac:dyDescent="0.25">
      <c r="A98" s="10">
        <v>37</v>
      </c>
      <c r="B98" s="1890"/>
      <c r="D98" s="2" t="str">
        <f t="shared" si="0"/>
        <v>OK</v>
      </c>
      <c r="G98" s="1961">
        <v>102900300</v>
      </c>
    </row>
    <row r="99" spans="1:7" ht="15" x14ac:dyDescent="0.25">
      <c r="A99" s="10">
        <v>38</v>
      </c>
      <c r="B99" s="1890"/>
      <c r="D99" s="2" t="str">
        <f t="shared" si="0"/>
        <v>OK</v>
      </c>
      <c r="G99" s="1961">
        <v>102900400</v>
      </c>
    </row>
    <row r="100" spans="1:7" ht="15" x14ac:dyDescent="0.25">
      <c r="A100" s="10">
        <v>39</v>
      </c>
      <c r="B100" s="1890"/>
      <c r="D100" s="2" t="str">
        <f t="shared" si="0"/>
        <v>OK</v>
      </c>
      <c r="G100" s="1961">
        <v>102900600</v>
      </c>
    </row>
    <row r="101" spans="1:7" ht="15" x14ac:dyDescent="0.25">
      <c r="A101" s="10">
        <v>40</v>
      </c>
      <c r="B101" s="1890"/>
      <c r="D101" s="2" t="str">
        <f t="shared" si="0"/>
        <v>OK</v>
      </c>
      <c r="G101" s="1961">
        <v>102900800</v>
      </c>
    </row>
    <row r="102" spans="1:7" ht="15" x14ac:dyDescent="0.25">
      <c r="A102" s="10">
        <v>41</v>
      </c>
      <c r="B102" s="1890"/>
      <c r="D102" s="2" t="str">
        <f t="shared" si="0"/>
        <v>OK</v>
      </c>
      <c r="G102" s="1961">
        <v>202900300</v>
      </c>
    </row>
    <row r="103" spans="1:7" ht="15" x14ac:dyDescent="0.25">
      <c r="A103" s="10">
        <v>42</v>
      </c>
      <c r="B103" s="1890"/>
      <c r="D103" s="2" t="str">
        <f t="shared" si="0"/>
        <v>OK</v>
      </c>
      <c r="G103" s="1961">
        <v>202900400</v>
      </c>
    </row>
    <row r="104" spans="1:7" ht="15" x14ac:dyDescent="0.25">
      <c r="A104" s="5">
        <v>43</v>
      </c>
      <c r="B104" s="1890">
        <f>'Assets-Liab 5-6'!D10</f>
        <v>0</v>
      </c>
      <c r="D104" s="2" t="str">
        <f t="shared" si="0"/>
        <v>Error?</v>
      </c>
      <c r="G104" s="1961">
        <v>202900600</v>
      </c>
    </row>
    <row r="105" spans="1:7" ht="15" x14ac:dyDescent="0.25">
      <c r="A105" s="5">
        <v>44</v>
      </c>
      <c r="B105" s="1890">
        <f>'Assets-Liab 5-6'!D5</f>
        <v>648242</v>
      </c>
      <c r="D105" s="2" t="str">
        <f t="shared" si="0"/>
        <v>Error?</v>
      </c>
      <c r="G105" s="1961">
        <v>202900800</v>
      </c>
    </row>
    <row r="106" spans="1:7" ht="15" x14ac:dyDescent="0.25">
      <c r="A106" s="10">
        <v>45</v>
      </c>
      <c r="B106" s="1890"/>
      <c r="D106" s="2" t="str">
        <f t="shared" si="0"/>
        <v>OK</v>
      </c>
      <c r="G106" s="1961">
        <v>402900300</v>
      </c>
    </row>
    <row r="107" spans="1:7" ht="15" x14ac:dyDescent="0.25">
      <c r="A107" s="10">
        <v>46</v>
      </c>
      <c r="B107" s="1890"/>
      <c r="D107" s="2" t="str">
        <f t="shared" si="0"/>
        <v>OK</v>
      </c>
      <c r="G107" s="1961">
        <v>402900400</v>
      </c>
    </row>
    <row r="108" spans="1:7" ht="15" x14ac:dyDescent="0.25">
      <c r="A108" s="5">
        <v>47</v>
      </c>
      <c r="B108" s="1890">
        <f>'Assets-Liab 5-6'!D12</f>
        <v>0</v>
      </c>
      <c r="D108" s="2" t="str">
        <f t="shared" si="0"/>
        <v>Error?</v>
      </c>
      <c r="G108" s="1961">
        <v>402900600</v>
      </c>
    </row>
    <row r="109" spans="1:7" ht="15" x14ac:dyDescent="0.25">
      <c r="A109" s="5">
        <v>48</v>
      </c>
      <c r="B109" s="1890">
        <f>'Assets-Liab 5-6'!D13</f>
        <v>747819</v>
      </c>
      <c r="C109" s="2" t="s">
        <v>569</v>
      </c>
      <c r="D109" s="2" t="str">
        <f t="shared" si="0"/>
        <v>Error?</v>
      </c>
      <c r="G109" s="1961">
        <v>402900800</v>
      </c>
    </row>
    <row r="110" spans="1:7" ht="15" x14ac:dyDescent="0.25">
      <c r="A110" s="10">
        <v>49</v>
      </c>
      <c r="B110" s="1890"/>
      <c r="D110" s="2" t="str">
        <f t="shared" si="0"/>
        <v>OK</v>
      </c>
      <c r="G110" s="1961">
        <v>602900300</v>
      </c>
    </row>
    <row r="111" spans="1:7" ht="15" x14ac:dyDescent="0.25">
      <c r="A111" s="10">
        <v>50</v>
      </c>
      <c r="B111" s="1890"/>
      <c r="D111" s="2" t="str">
        <f t="shared" si="0"/>
        <v>OK</v>
      </c>
      <c r="G111" s="1961">
        <v>602900400</v>
      </c>
    </row>
    <row r="112" spans="1:7" ht="15" x14ac:dyDescent="0.25">
      <c r="A112" s="10">
        <v>51</v>
      </c>
      <c r="B112" s="1890"/>
      <c r="D112" s="2" t="str">
        <f t="shared" si="0"/>
        <v>OK</v>
      </c>
      <c r="G112" s="1961">
        <v>602900600</v>
      </c>
    </row>
    <row r="113" spans="1:7" ht="15" x14ac:dyDescent="0.25">
      <c r="A113" s="10">
        <v>52</v>
      </c>
      <c r="B113" s="1890"/>
      <c r="D113" s="2" t="str">
        <f t="shared" si="0"/>
        <v>OK</v>
      </c>
      <c r="G113" s="1961">
        <v>602900800</v>
      </c>
    </row>
    <row r="114" spans="1:7" ht="15" x14ac:dyDescent="0.25">
      <c r="A114" s="10">
        <v>53</v>
      </c>
      <c r="B114" s="1890"/>
      <c r="D114" s="2" t="str">
        <f t="shared" si="0"/>
        <v>OK</v>
      </c>
      <c r="G114" s="1961">
        <v>902900300</v>
      </c>
    </row>
    <row r="115" spans="1:7" ht="15" x14ac:dyDescent="0.25">
      <c r="A115" s="10">
        <v>54</v>
      </c>
      <c r="B115" s="1890"/>
      <c r="D115" s="2" t="str">
        <f t="shared" si="0"/>
        <v>OK</v>
      </c>
      <c r="G115" s="1961">
        <v>902900400</v>
      </c>
    </row>
    <row r="116" spans="1:7" ht="15" x14ac:dyDescent="0.25">
      <c r="A116" s="10">
        <v>55</v>
      </c>
      <c r="B116" s="1890"/>
      <c r="D116" s="2" t="str">
        <f t="shared" si="0"/>
        <v>OK</v>
      </c>
      <c r="G116" s="1961">
        <v>902900600</v>
      </c>
    </row>
    <row r="117" spans="1:7" ht="15" x14ac:dyDescent="0.25">
      <c r="A117" s="5">
        <v>56</v>
      </c>
      <c r="B117" s="1890">
        <f>'Assets-Liab 5-6'!D31</f>
        <v>0</v>
      </c>
      <c r="D117" s="2" t="str">
        <f t="shared" si="0"/>
        <v>Error?</v>
      </c>
      <c r="G117" s="1961">
        <v>902900800</v>
      </c>
    </row>
    <row r="118" spans="1:7" ht="15" x14ac:dyDescent="0.25">
      <c r="A118" s="10">
        <v>57</v>
      </c>
      <c r="B118" s="1890"/>
      <c r="D118" s="2" t="str">
        <f t="shared" si="0"/>
        <v>OK</v>
      </c>
      <c r="G118" s="1961">
        <v>103000300</v>
      </c>
    </row>
    <row r="119" spans="1:7" ht="15" x14ac:dyDescent="0.25">
      <c r="A119" s="5">
        <v>58</v>
      </c>
      <c r="B119" s="1890">
        <f>'Assets-Liab 5-6'!D32</f>
        <v>0</v>
      </c>
      <c r="D119" s="2" t="str">
        <f t="shared" si="0"/>
        <v>Error?</v>
      </c>
      <c r="G119" s="1961">
        <v>103000400</v>
      </c>
    </row>
    <row r="120" spans="1:7" ht="15" x14ac:dyDescent="0.25">
      <c r="A120" s="10">
        <v>59</v>
      </c>
      <c r="B120" s="1890"/>
      <c r="D120" s="2" t="str">
        <f t="shared" si="0"/>
        <v>OK</v>
      </c>
      <c r="G120" s="1961">
        <v>103000600</v>
      </c>
    </row>
    <row r="121" spans="1:7" ht="15" x14ac:dyDescent="0.25">
      <c r="A121" s="10">
        <v>60</v>
      </c>
      <c r="B121" s="1890"/>
      <c r="D121" s="2" t="str">
        <f t="shared" si="0"/>
        <v>OK</v>
      </c>
      <c r="G121" s="1961">
        <v>103000800</v>
      </c>
    </row>
    <row r="122" spans="1:7" ht="15" x14ac:dyDescent="0.25">
      <c r="A122" s="5">
        <v>61</v>
      </c>
      <c r="B122" s="1890">
        <f>'Assets-Liab 5-6'!D34</f>
        <v>0</v>
      </c>
      <c r="C122" s="2" t="s">
        <v>569</v>
      </c>
      <c r="D122" s="2" t="str">
        <f t="shared" si="0"/>
        <v>Error?</v>
      </c>
      <c r="G122" s="1961">
        <v>203000300</v>
      </c>
    </row>
    <row r="123" spans="1:7" ht="15" x14ac:dyDescent="0.25">
      <c r="A123" s="5">
        <v>62</v>
      </c>
      <c r="B123" s="1890">
        <f>'Assets-Liab 5-6'!D39</f>
        <v>747819</v>
      </c>
      <c r="D123" s="2" t="str">
        <f t="shared" si="0"/>
        <v>Error?</v>
      </c>
      <c r="G123" s="1961">
        <v>203000400</v>
      </c>
    </row>
    <row r="124" spans="1:7" ht="15" x14ac:dyDescent="0.25">
      <c r="A124" s="5">
        <v>63</v>
      </c>
      <c r="B124" s="1890">
        <f>'Assets-Liab 5-6'!D41</f>
        <v>747819</v>
      </c>
      <c r="C124" s="2" t="s">
        <v>569</v>
      </c>
      <c r="D124" s="2" t="str">
        <f t="shared" si="0"/>
        <v>Error?</v>
      </c>
      <c r="G124" s="1961">
        <v>203000600</v>
      </c>
    </row>
    <row r="125" spans="1:7" ht="15" x14ac:dyDescent="0.25">
      <c r="A125" s="10">
        <v>64</v>
      </c>
      <c r="B125" s="1890"/>
      <c r="D125" s="2" t="str">
        <f t="shared" si="0"/>
        <v>OK</v>
      </c>
      <c r="G125" s="1961">
        <v>203000800</v>
      </c>
    </row>
    <row r="126" spans="1:7" ht="15" x14ac:dyDescent="0.25">
      <c r="A126" s="5">
        <v>65</v>
      </c>
      <c r="B126" s="1890">
        <f>'Assets-Liab 5-6'!E6</f>
        <v>0</v>
      </c>
      <c r="D126" s="2" t="str">
        <f t="shared" si="0"/>
        <v>Error?</v>
      </c>
      <c r="G126" s="1961">
        <v>403000300</v>
      </c>
    </row>
    <row r="127" spans="1:7" ht="15" x14ac:dyDescent="0.25">
      <c r="A127" s="10">
        <v>66</v>
      </c>
      <c r="B127" s="1890"/>
      <c r="D127" s="2" t="str">
        <f t="shared" ref="D127:D190" si="1">IF(ISBLANK(B127),"OK",IF(A127-B127=0,"OK","Error?"))</f>
        <v>OK</v>
      </c>
      <c r="G127" s="1961">
        <v>403000400</v>
      </c>
    </row>
    <row r="128" spans="1:7" ht="15" x14ac:dyDescent="0.25">
      <c r="A128" s="10">
        <v>67</v>
      </c>
      <c r="B128" s="1890"/>
      <c r="D128" s="2" t="str">
        <f t="shared" si="1"/>
        <v>OK</v>
      </c>
      <c r="G128" s="1961">
        <v>403000600</v>
      </c>
    </row>
    <row r="129" spans="1:7" ht="15" x14ac:dyDescent="0.25">
      <c r="A129" s="5">
        <v>68</v>
      </c>
      <c r="B129" s="1890">
        <f>'Assets-Liab 5-6'!E5</f>
        <v>1864</v>
      </c>
      <c r="D129" s="2" t="str">
        <f t="shared" si="1"/>
        <v>Error?</v>
      </c>
      <c r="G129" s="1961">
        <v>403000800</v>
      </c>
    </row>
    <row r="130" spans="1:7" x14ac:dyDescent="0.2">
      <c r="A130" s="5">
        <v>69</v>
      </c>
      <c r="B130" s="1890">
        <f>'Assets-Liab 5-6'!E12</f>
        <v>0</v>
      </c>
      <c r="D130" s="2" t="str">
        <f t="shared" si="1"/>
        <v>Error?</v>
      </c>
    </row>
    <row r="131" spans="1:7" x14ac:dyDescent="0.2">
      <c r="A131" s="5">
        <v>70</v>
      </c>
      <c r="B131" s="1890">
        <f>'Assets-Liab 5-6'!E13</f>
        <v>12193</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12193</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435777</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642461</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642461</v>
      </c>
      <c r="D170" s="2" t="str">
        <f t="shared" si="1"/>
        <v>Error?</v>
      </c>
    </row>
    <row r="171" spans="1:4" x14ac:dyDescent="0.2">
      <c r="A171" s="5">
        <v>110</v>
      </c>
      <c r="B171" s="1890">
        <f>'Assets-Liab 5-6'!F41</f>
        <v>642461</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89574</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251061</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196363</v>
      </c>
      <c r="D189" s="2" t="str">
        <f t="shared" si="1"/>
        <v>Error?</v>
      </c>
    </row>
    <row r="190" spans="1:4" x14ac:dyDescent="0.2">
      <c r="A190" s="5">
        <v>129</v>
      </c>
      <c r="B190" s="1890">
        <f>'Assets-Liab 5-6'!G41</f>
        <v>251061</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160300</v>
      </c>
      <c r="D273" s="2" t="str">
        <f t="shared" si="3"/>
        <v>Error?</v>
      </c>
    </row>
    <row r="274" spans="1:4" x14ac:dyDescent="0.2">
      <c r="A274" s="5">
        <v>213</v>
      </c>
      <c r="B274" s="1890">
        <f>'Assets-Liab 5-6'!M17</f>
        <v>4246594</v>
      </c>
      <c r="D274" s="2" t="str">
        <f t="shared" si="3"/>
        <v>Error?</v>
      </c>
    </row>
    <row r="275" spans="1:4" x14ac:dyDescent="0.2">
      <c r="A275" s="5">
        <v>214</v>
      </c>
      <c r="B275" s="1890">
        <f>'Assets-Liab 5-6'!M18</f>
        <v>1267</v>
      </c>
      <c r="D275" s="2" t="str">
        <f t="shared" si="3"/>
        <v>Error?</v>
      </c>
    </row>
    <row r="276" spans="1:4" x14ac:dyDescent="0.2">
      <c r="A276" s="5">
        <v>215</v>
      </c>
      <c r="B276" s="1890">
        <f>'Assets-Liab 5-6'!M19</f>
        <v>219933</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4628094</v>
      </c>
      <c r="C279" s="2" t="s">
        <v>569</v>
      </c>
      <c r="D279" s="2" t="str">
        <f t="shared" si="3"/>
        <v>Error?</v>
      </c>
    </row>
    <row r="280" spans="1:4" x14ac:dyDescent="0.2">
      <c r="A280" s="5">
        <v>219</v>
      </c>
      <c r="B280" s="1890">
        <f>'Assets-Liab 5-6'!M40</f>
        <v>4628154</v>
      </c>
      <c r="D280" s="2" t="str">
        <f t="shared" si="3"/>
        <v>Error?</v>
      </c>
    </row>
    <row r="281" spans="1:4" x14ac:dyDescent="0.2">
      <c r="A281" s="5">
        <v>220</v>
      </c>
      <c r="B281" s="1890">
        <f>'Assets-Liab 5-6'!M41</f>
        <v>4628154</v>
      </c>
      <c r="C281" s="2" t="s">
        <v>569</v>
      </c>
      <c r="D281" s="2" t="str">
        <f t="shared" si="3"/>
        <v>Error?</v>
      </c>
    </row>
    <row r="282" spans="1:4" x14ac:dyDescent="0.2">
      <c r="A282" s="5">
        <v>221</v>
      </c>
      <c r="B282" s="1890">
        <f>'Assets-Liab 5-6'!N21</f>
        <v>12193</v>
      </c>
      <c r="D282" s="2" t="str">
        <f t="shared" si="3"/>
        <v>Error?</v>
      </c>
    </row>
    <row r="283" spans="1:4" x14ac:dyDescent="0.2">
      <c r="A283" s="5">
        <v>222</v>
      </c>
      <c r="B283" s="1890">
        <f>'Assets-Liab 5-6'!N22</f>
        <v>2824671</v>
      </c>
      <c r="D283" s="2" t="str">
        <f t="shared" si="3"/>
        <v>Error?</v>
      </c>
    </row>
    <row r="284" spans="1:4" x14ac:dyDescent="0.2">
      <c r="A284" s="5">
        <v>223</v>
      </c>
      <c r="B284" s="1890">
        <f>'Assets-Liab 5-6'!N23</f>
        <v>2836864</v>
      </c>
      <c r="C284" s="2" t="s">
        <v>569</v>
      </c>
      <c r="D284" s="2" t="str">
        <f t="shared" si="3"/>
        <v>Error?</v>
      </c>
    </row>
    <row r="285" spans="1:4" x14ac:dyDescent="0.2">
      <c r="A285" s="5">
        <v>224</v>
      </c>
      <c r="B285" s="1890">
        <f>'Assets-Liab 5-6'!N36</f>
        <v>2835000</v>
      </c>
      <c r="D285" s="2" t="str">
        <f t="shared" si="3"/>
        <v>Error?</v>
      </c>
    </row>
    <row r="286" spans="1:4" x14ac:dyDescent="0.2">
      <c r="A286" s="10">
        <v>225</v>
      </c>
      <c r="B286" s="1890"/>
      <c r="D286" s="2" t="str">
        <f t="shared" si="3"/>
        <v>OK</v>
      </c>
    </row>
    <row r="287" spans="1:4" x14ac:dyDescent="0.2">
      <c r="A287" s="5">
        <v>226</v>
      </c>
      <c r="B287" s="1890">
        <f>'Assets-Liab 5-6'!N37</f>
        <v>2835000</v>
      </c>
      <c r="C287" s="2" t="s">
        <v>569</v>
      </c>
      <c r="D287" s="2" t="str">
        <f t="shared" si="3"/>
        <v>Error?</v>
      </c>
    </row>
    <row r="288" spans="1:4" x14ac:dyDescent="0.2">
      <c r="A288" s="5">
        <v>227</v>
      </c>
      <c r="B288" s="1890">
        <f>'Assets-Liab 5-6'!N41</f>
        <v>2835000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1501708</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75161</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2054765</v>
      </c>
      <c r="C720" s="2" t="s">
        <v>569</v>
      </c>
      <c r="D720" s="2" t="str">
        <f t="shared" si="10"/>
        <v>Error?</v>
      </c>
    </row>
    <row r="721" spans="1:4" x14ac:dyDescent="0.2">
      <c r="A721" s="5">
        <v>660</v>
      </c>
      <c r="B721" s="1890">
        <f>'Expenditures 15-22'!C36</f>
        <v>51882</v>
      </c>
      <c r="D721" s="2" t="str">
        <f t="shared" si="10"/>
        <v>Error?</v>
      </c>
    </row>
    <row r="722" spans="1:4" x14ac:dyDescent="0.2">
      <c r="A722" s="5">
        <v>661</v>
      </c>
      <c r="B722" s="1890">
        <f>'Expenditures 15-22'!C37</f>
        <v>53095</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104977</v>
      </c>
      <c r="C727" s="2" t="s">
        <v>569</v>
      </c>
      <c r="D727" s="2" t="str">
        <f t="shared" si="10"/>
        <v>Error?</v>
      </c>
    </row>
    <row r="728" spans="1:4" x14ac:dyDescent="0.2">
      <c r="A728" s="5">
        <v>667</v>
      </c>
      <c r="B728" s="1890">
        <f>'Expenditures 15-22'!C44</f>
        <v>11140</v>
      </c>
      <c r="D728" s="2" t="str">
        <f t="shared" si="10"/>
        <v>Error?</v>
      </c>
    </row>
    <row r="729" spans="1:4" x14ac:dyDescent="0.2">
      <c r="A729" s="5">
        <v>668</v>
      </c>
      <c r="B729" s="1890">
        <f>'Expenditures 15-22'!C45</f>
        <v>2941</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14081</v>
      </c>
      <c r="C731" s="2" t="s">
        <v>569</v>
      </c>
      <c r="D731" s="2" t="str">
        <f t="shared" si="10"/>
        <v>Error?</v>
      </c>
    </row>
    <row r="732" spans="1:4" x14ac:dyDescent="0.2">
      <c r="A732" s="5">
        <v>671</v>
      </c>
      <c r="B732" s="1890">
        <f>'Expenditures 15-22'!C49</f>
        <v>8281</v>
      </c>
      <c r="D732" s="2" t="str">
        <f t="shared" si="10"/>
        <v>Error?</v>
      </c>
    </row>
    <row r="733" spans="1:4" x14ac:dyDescent="0.2">
      <c r="A733" s="5">
        <v>672</v>
      </c>
      <c r="B733" s="1890">
        <f>'Expenditures 15-22'!C50</f>
        <v>119223</v>
      </c>
      <c r="D733" s="2" t="str">
        <f t="shared" si="10"/>
        <v>Error?</v>
      </c>
    </row>
    <row r="734" spans="1:4" x14ac:dyDescent="0.2">
      <c r="A734" s="5">
        <v>673</v>
      </c>
      <c r="B734" s="1890">
        <f>'Expenditures 15-22'!C53</f>
        <v>127504</v>
      </c>
      <c r="C734" s="2" t="s">
        <v>569</v>
      </c>
      <c r="D734" s="2" t="str">
        <f t="shared" si="10"/>
        <v>Error?</v>
      </c>
    </row>
    <row r="735" spans="1:4" x14ac:dyDescent="0.2">
      <c r="A735" s="5">
        <v>674</v>
      </c>
      <c r="B735" s="1890">
        <f>'Expenditures 15-22'!C55</f>
        <v>180485</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180485</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83363</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83333</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166696</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26957</v>
      </c>
      <c r="D751" s="2" t="str">
        <f t="shared" si="10"/>
        <v>Error?</v>
      </c>
    </row>
    <row r="752" spans="1:4" x14ac:dyDescent="0.2">
      <c r="A752" s="10">
        <v>691</v>
      </c>
      <c r="B752" s="1890"/>
      <c r="D752" s="2" t="str">
        <f t="shared" si="10"/>
        <v>OK</v>
      </c>
    </row>
    <row r="753" spans="1:4" x14ac:dyDescent="0.2">
      <c r="A753" s="5">
        <v>692</v>
      </c>
      <c r="B753" s="1890">
        <f>'Expenditures 15-22'!C72</f>
        <v>26957</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620700</v>
      </c>
      <c r="C755" s="2" t="s">
        <v>569</v>
      </c>
      <c r="D755" s="2" t="str">
        <f t="shared" si="10"/>
        <v>Error?</v>
      </c>
    </row>
    <row r="756" spans="1:4" x14ac:dyDescent="0.2">
      <c r="A756" s="5">
        <v>695</v>
      </c>
      <c r="B756" s="1890">
        <f>'Expenditures 15-22'!C75</f>
        <v>24381</v>
      </c>
      <c r="D756" s="2" t="str">
        <f t="shared" si="10"/>
        <v>Error?</v>
      </c>
    </row>
    <row r="757" spans="1:4" x14ac:dyDescent="0.2">
      <c r="A757" s="5">
        <v>696</v>
      </c>
      <c r="B757" s="1890">
        <f>'Expenditures 15-22'!C114</f>
        <v>2699846</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382354</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8750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523986</v>
      </c>
      <c r="C778" s="2" t="s">
        <v>569</v>
      </c>
      <c r="D778" s="2" t="str">
        <f t="shared" si="11"/>
        <v>Error?</v>
      </c>
    </row>
    <row r="779" spans="1:4" x14ac:dyDescent="0.2">
      <c r="A779" s="5">
        <v>718</v>
      </c>
      <c r="B779" s="1890">
        <f>'Expenditures 15-22'!D36</f>
        <v>12291</v>
      </c>
      <c r="D779" s="2" t="str">
        <f t="shared" si="11"/>
        <v>Error?</v>
      </c>
    </row>
    <row r="780" spans="1:4" x14ac:dyDescent="0.2">
      <c r="A780" s="5">
        <v>719</v>
      </c>
      <c r="B780" s="1890">
        <f>'Expenditures 15-22'!D37</f>
        <v>12768</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25059</v>
      </c>
      <c r="C785" s="2" t="s">
        <v>569</v>
      </c>
      <c r="D785" s="2" t="str">
        <f t="shared" si="11"/>
        <v>Error?</v>
      </c>
    </row>
    <row r="786" spans="1:4" x14ac:dyDescent="0.2">
      <c r="A786" s="5">
        <v>725</v>
      </c>
      <c r="B786" s="1890">
        <f>'Expenditures 15-22'!D44</f>
        <v>4327</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4327</v>
      </c>
      <c r="C789" s="2" t="s">
        <v>569</v>
      </c>
      <c r="D789" s="2" t="str">
        <f t="shared" si="11"/>
        <v>Error?</v>
      </c>
    </row>
    <row r="790" spans="1:4" x14ac:dyDescent="0.2">
      <c r="A790" s="5">
        <v>729</v>
      </c>
      <c r="B790" s="1890">
        <f>'Expenditures 15-22'!D49</f>
        <v>25317</v>
      </c>
      <c r="D790" s="2" t="str">
        <f t="shared" si="11"/>
        <v>Error?</v>
      </c>
    </row>
    <row r="791" spans="1:4" x14ac:dyDescent="0.2">
      <c r="A791" s="5">
        <v>730</v>
      </c>
      <c r="B791" s="1890">
        <f>'Expenditures 15-22'!D50</f>
        <v>32055</v>
      </c>
      <c r="D791" s="2" t="str">
        <f t="shared" si="11"/>
        <v>Error?</v>
      </c>
    </row>
    <row r="792" spans="1:4" x14ac:dyDescent="0.2">
      <c r="A792" s="5">
        <v>731</v>
      </c>
      <c r="B792" s="1890">
        <f>'Expenditures 15-22'!D53</f>
        <v>57372</v>
      </c>
      <c r="C792" s="2" t="s">
        <v>569</v>
      </c>
      <c r="D792" s="2" t="str">
        <f t="shared" si="11"/>
        <v>Error?</v>
      </c>
    </row>
    <row r="793" spans="1:4" x14ac:dyDescent="0.2">
      <c r="A793" s="5">
        <v>732</v>
      </c>
      <c r="B793" s="1890">
        <f>'Expenditures 15-22'!D55</f>
        <v>49898</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49898</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7081</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29329</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36410</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322</v>
      </c>
      <c r="D809" s="2" t="str">
        <f t="shared" si="11"/>
        <v>Error?</v>
      </c>
    </row>
    <row r="810" spans="1:4" x14ac:dyDescent="0.2">
      <c r="A810" s="10">
        <v>749</v>
      </c>
      <c r="B810" s="1890"/>
      <c r="D810" s="2" t="str">
        <f t="shared" si="11"/>
        <v>OK</v>
      </c>
    </row>
    <row r="811" spans="1:4" x14ac:dyDescent="0.2">
      <c r="A811" s="5">
        <v>750</v>
      </c>
      <c r="B811" s="1890">
        <f>'Expenditures 15-22'!D72</f>
        <v>322</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173388</v>
      </c>
      <c r="C813" s="2" t="s">
        <v>569</v>
      </c>
      <c r="D813" s="2" t="str">
        <f t="shared" si="11"/>
        <v>Error?</v>
      </c>
    </row>
    <row r="814" spans="1:4" x14ac:dyDescent="0.2">
      <c r="A814" s="5">
        <v>753</v>
      </c>
      <c r="B814" s="1890">
        <f>'Expenditures 15-22'!D75</f>
        <v>7061</v>
      </c>
      <c r="D814" s="2" t="str">
        <f t="shared" si="11"/>
        <v>Error?</v>
      </c>
    </row>
    <row r="815" spans="1:4" x14ac:dyDescent="0.2">
      <c r="A815" s="5">
        <v>754</v>
      </c>
      <c r="B815" s="1890">
        <f>'Expenditures 15-22'!D114</f>
        <v>704435</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14361</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22700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69530</v>
      </c>
      <c r="C836" s="2" t="s">
        <v>569</v>
      </c>
      <c r="D836" s="2" t="str">
        <f t="shared" si="12"/>
        <v>Error?</v>
      </c>
    </row>
    <row r="837" spans="1:4" x14ac:dyDescent="0.2">
      <c r="A837" s="5">
        <v>776</v>
      </c>
      <c r="B837" s="1890">
        <f>'Expenditures 15-22'!E36</f>
        <v>359</v>
      </c>
      <c r="D837" s="2" t="str">
        <f t="shared" si="12"/>
        <v>Error?</v>
      </c>
    </row>
    <row r="838" spans="1:4" x14ac:dyDescent="0.2">
      <c r="A838" s="5">
        <v>777</v>
      </c>
      <c r="B838" s="1890">
        <f>'Expenditures 15-22'!E37</f>
        <v>222</v>
      </c>
      <c r="D838" s="2" t="str">
        <f t="shared" si="12"/>
        <v>Error?</v>
      </c>
    </row>
    <row r="839" spans="1:4" x14ac:dyDescent="0.2">
      <c r="A839" s="5">
        <v>778</v>
      </c>
      <c r="B839" s="1890">
        <f>'Expenditures 15-22'!E38</f>
        <v>1481</v>
      </c>
      <c r="D839" s="2" t="str">
        <f t="shared" si="12"/>
        <v>Error?</v>
      </c>
    </row>
    <row r="840" spans="1:4" x14ac:dyDescent="0.2">
      <c r="A840" s="5">
        <v>779</v>
      </c>
      <c r="B840" s="1890">
        <f>'Expenditures 15-22'!E39</f>
        <v>39621</v>
      </c>
      <c r="D840" s="2" t="str">
        <f t="shared" si="12"/>
        <v>Error?</v>
      </c>
    </row>
    <row r="841" spans="1:4" x14ac:dyDescent="0.2">
      <c r="A841" s="5">
        <v>780</v>
      </c>
      <c r="B841" s="1890">
        <f>'Expenditures 15-22'!E40</f>
        <v>64866</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106549</v>
      </c>
      <c r="C843" s="2" t="s">
        <v>569</v>
      </c>
      <c r="D843" s="2" t="str">
        <f t="shared" si="12"/>
        <v>Error?</v>
      </c>
    </row>
    <row r="844" spans="1:4" x14ac:dyDescent="0.2">
      <c r="A844" s="5">
        <v>783</v>
      </c>
      <c r="B844" s="1890">
        <f>'Expenditures 15-22'!E44</f>
        <v>4671</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4671</v>
      </c>
      <c r="C847" s="2" t="s">
        <v>569</v>
      </c>
      <c r="D847" s="2" t="str">
        <f t="shared" si="12"/>
        <v>Error?</v>
      </c>
    </row>
    <row r="848" spans="1:4" x14ac:dyDescent="0.2">
      <c r="A848" s="5">
        <v>787</v>
      </c>
      <c r="B848" s="1890">
        <f>'Expenditures 15-22'!E49</f>
        <v>35067</v>
      </c>
      <c r="D848" s="2" t="str">
        <f t="shared" si="12"/>
        <v>Error?</v>
      </c>
    </row>
    <row r="849" spans="1:4" x14ac:dyDescent="0.2">
      <c r="A849" s="5">
        <v>788</v>
      </c>
      <c r="B849" s="1890">
        <f>'Expenditures 15-22'!E50</f>
        <v>228</v>
      </c>
      <c r="D849" s="2" t="str">
        <f t="shared" si="12"/>
        <v>Error?</v>
      </c>
    </row>
    <row r="850" spans="1:4" x14ac:dyDescent="0.2">
      <c r="A850" s="5">
        <v>789</v>
      </c>
      <c r="B850" s="1890">
        <f>'Expenditures 15-22'!E53</f>
        <v>35295</v>
      </c>
      <c r="C850" s="2" t="s">
        <v>569</v>
      </c>
      <c r="D850" s="2" t="str">
        <f t="shared" si="12"/>
        <v>Error?</v>
      </c>
    </row>
    <row r="851" spans="1:4" x14ac:dyDescent="0.2">
      <c r="A851" s="5">
        <v>790</v>
      </c>
      <c r="B851" s="1890">
        <f>'Expenditures 15-22'!E55</f>
        <v>1086</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1086</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356</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0</v>
      </c>
      <c r="D858" s="2" t="str">
        <f t="shared" si="12"/>
        <v>Error?</v>
      </c>
    </row>
    <row r="859" spans="1:4" x14ac:dyDescent="0.2">
      <c r="A859" s="5">
        <v>798</v>
      </c>
      <c r="B859" s="1890">
        <f>'Expenditures 15-22'!E64</f>
        <v>17542</v>
      </c>
      <c r="D859" s="2" t="str">
        <f t="shared" si="12"/>
        <v>Error?</v>
      </c>
    </row>
    <row r="860" spans="1:4" x14ac:dyDescent="0.2">
      <c r="A860" s="10">
        <v>799</v>
      </c>
      <c r="B860" s="1890"/>
      <c r="D860" s="2" t="str">
        <f t="shared" si="12"/>
        <v>OK</v>
      </c>
    </row>
    <row r="861" spans="1:4" x14ac:dyDescent="0.2">
      <c r="A861" s="5">
        <v>800</v>
      </c>
      <c r="B861" s="1890">
        <f>'Expenditures 15-22'!E65</f>
        <v>17898</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35908</v>
      </c>
      <c r="D867" s="2" t="str">
        <f t="shared" si="12"/>
        <v>Error?</v>
      </c>
    </row>
    <row r="868" spans="1:4" x14ac:dyDescent="0.2">
      <c r="A868" s="10">
        <v>807</v>
      </c>
      <c r="B868" s="1890"/>
      <c r="D868" s="2" t="str">
        <f t="shared" si="12"/>
        <v>OK</v>
      </c>
    </row>
    <row r="869" spans="1:4" x14ac:dyDescent="0.2">
      <c r="A869" s="5">
        <v>808</v>
      </c>
      <c r="B869" s="1890">
        <f>'Expenditures 15-22'!E72</f>
        <v>35908</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201407</v>
      </c>
      <c r="C871" s="2" t="s">
        <v>569</v>
      </c>
      <c r="D871" s="2" t="str">
        <f t="shared" si="12"/>
        <v>Error?</v>
      </c>
    </row>
    <row r="872" spans="1:4" x14ac:dyDescent="0.2">
      <c r="A872" s="5">
        <v>811</v>
      </c>
      <c r="B872" s="1890">
        <f>'Expenditures 15-22'!E75</f>
        <v>1000</v>
      </c>
      <c r="D872" s="2" t="str">
        <f t="shared" si="12"/>
        <v>Error?</v>
      </c>
    </row>
    <row r="873" spans="1:4" x14ac:dyDescent="0.2">
      <c r="A873" s="5">
        <v>812</v>
      </c>
      <c r="B873" s="1890">
        <f>'Expenditures 15-22'!E114</f>
        <v>331841</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55780</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24335</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126682</v>
      </c>
      <c r="C894" s="2" t="s">
        <v>569</v>
      </c>
      <c r="D894" s="2" t="str">
        <f t="shared" si="12"/>
        <v>Error?</v>
      </c>
    </row>
    <row r="895" spans="1:4" x14ac:dyDescent="0.2">
      <c r="A895" s="5">
        <v>834</v>
      </c>
      <c r="B895" s="1890">
        <f>'Expenditures 15-22'!F36</f>
        <v>5262</v>
      </c>
      <c r="D895" s="2" t="str">
        <f t="shared" ref="D895:D958" si="13">IF(ISBLANK(B895),"OK",IF(A895-B895=0,"OK","Error?"))</f>
        <v>Error?</v>
      </c>
    </row>
    <row r="896" spans="1:4" x14ac:dyDescent="0.2">
      <c r="A896" s="5">
        <v>835</v>
      </c>
      <c r="B896" s="1890">
        <f>'Expenditures 15-22'!F37</f>
        <v>5296</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10558</v>
      </c>
      <c r="C901" s="2" t="s">
        <v>569</v>
      </c>
      <c r="D901" s="2" t="str">
        <f t="shared" si="13"/>
        <v>Error?</v>
      </c>
    </row>
    <row r="902" spans="1:4" x14ac:dyDescent="0.2">
      <c r="A902" s="5">
        <v>841</v>
      </c>
      <c r="B902" s="1890">
        <f>'Expenditures 15-22'!F44</f>
        <v>9871</v>
      </c>
      <c r="D902" s="2" t="str">
        <f t="shared" si="13"/>
        <v>Error?</v>
      </c>
    </row>
    <row r="903" spans="1:4" x14ac:dyDescent="0.2">
      <c r="A903" s="5">
        <v>842</v>
      </c>
      <c r="B903" s="1890">
        <f>'Expenditures 15-22'!F45</f>
        <v>22480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32351</v>
      </c>
      <c r="C905" s="2" t="s">
        <v>569</v>
      </c>
      <c r="D905" s="2" t="str">
        <f t="shared" si="13"/>
        <v>Error?</v>
      </c>
    </row>
    <row r="906" spans="1:4" x14ac:dyDescent="0.2">
      <c r="A906" s="5">
        <v>845</v>
      </c>
      <c r="B906" s="1890">
        <f>'Expenditures 15-22'!F49</f>
        <v>3595</v>
      </c>
      <c r="D906" s="2" t="str">
        <f t="shared" si="13"/>
        <v>Error?</v>
      </c>
    </row>
    <row r="907" spans="1:4" x14ac:dyDescent="0.2">
      <c r="A907" s="5">
        <v>846</v>
      </c>
      <c r="B907" s="1890">
        <f>'Expenditures 15-22'!F50</f>
        <v>4832</v>
      </c>
      <c r="D907" s="2" t="str">
        <f t="shared" si="13"/>
        <v>Error?</v>
      </c>
    </row>
    <row r="908" spans="1:4" x14ac:dyDescent="0.2">
      <c r="A908" s="5">
        <v>847</v>
      </c>
      <c r="B908" s="1890">
        <f>'Expenditures 15-22'!F53</f>
        <v>8427</v>
      </c>
      <c r="C908" s="2" t="s">
        <v>569</v>
      </c>
      <c r="D908" s="2" t="str">
        <f t="shared" si="13"/>
        <v>Error?</v>
      </c>
    </row>
    <row r="909" spans="1:4" x14ac:dyDescent="0.2">
      <c r="A909" s="5">
        <v>848</v>
      </c>
      <c r="B909" s="1890">
        <f>'Expenditures 15-22'!F55</f>
        <v>7353</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7353</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1011</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60442</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61453</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75126</v>
      </c>
      <c r="D925" s="2" t="str">
        <f t="shared" si="13"/>
        <v>Error?</v>
      </c>
    </row>
    <row r="926" spans="1:4" x14ac:dyDescent="0.2">
      <c r="A926" s="10">
        <v>865</v>
      </c>
      <c r="B926" s="1890"/>
      <c r="D926" s="2" t="str">
        <f t="shared" si="13"/>
        <v>OK</v>
      </c>
    </row>
    <row r="927" spans="1:4" x14ac:dyDescent="0.2">
      <c r="A927" s="5">
        <v>866</v>
      </c>
      <c r="B927" s="1890">
        <f>'Expenditures 15-22'!F72</f>
        <v>75126</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195268</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321950</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0</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1985</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10705</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14872</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405</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405</v>
      </c>
      <c r="C1017" s="2" t="s">
        <v>569</v>
      </c>
      <c r="D1017" s="2" t="str">
        <f t="shared" si="14"/>
        <v>Error?</v>
      </c>
    </row>
    <row r="1018" spans="1:4" x14ac:dyDescent="0.2">
      <c r="A1018" s="5">
        <v>957</v>
      </c>
      <c r="B1018" s="1890">
        <f>'Expenditures 15-22'!H44</f>
        <v>3502</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3502</v>
      </c>
      <c r="C1021" s="2" t="s">
        <v>569</v>
      </c>
      <c r="D1021" s="2" t="str">
        <f t="shared" si="14"/>
        <v>Error?</v>
      </c>
    </row>
    <row r="1022" spans="1:4" x14ac:dyDescent="0.2">
      <c r="A1022" s="5">
        <v>961</v>
      </c>
      <c r="B1022" s="1890">
        <f>'Expenditures 15-22'!H49</f>
        <v>9175</v>
      </c>
      <c r="D1022" s="2" t="str">
        <f t="shared" si="14"/>
        <v>Error?</v>
      </c>
    </row>
    <row r="1023" spans="1:4" x14ac:dyDescent="0.2">
      <c r="A1023" s="5">
        <v>962</v>
      </c>
      <c r="B1023" s="1890">
        <f>'Expenditures 15-22'!H50</f>
        <v>1293</v>
      </c>
      <c r="D1023" s="2" t="str">
        <f t="shared" ref="D1023:D1086" si="15">IF(ISBLANK(B1023),"OK",IF(A1023-B1023=0,"OK","Error?"))</f>
        <v>Error?</v>
      </c>
    </row>
    <row r="1024" spans="1:4" x14ac:dyDescent="0.2">
      <c r="A1024" s="5">
        <v>963</v>
      </c>
      <c r="B1024" s="1890">
        <f>'Expenditures 15-22'!H53</f>
        <v>10468</v>
      </c>
      <c r="C1024" s="2" t="s">
        <v>569</v>
      </c>
      <c r="D1024" s="2" t="str">
        <f t="shared" si="15"/>
        <v>Error?</v>
      </c>
    </row>
    <row r="1025" spans="1:4" x14ac:dyDescent="0.2">
      <c r="A1025" s="5">
        <v>964</v>
      </c>
      <c r="B1025" s="1890">
        <f>'Expenditures 15-22'!H55</f>
        <v>451</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451</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751</v>
      </c>
      <c r="D1032" s="2" t="str">
        <f t="shared" si="15"/>
        <v>Error?</v>
      </c>
    </row>
    <row r="1033" spans="1:4" x14ac:dyDescent="0.2">
      <c r="A1033" s="5">
        <v>972</v>
      </c>
      <c r="B1033" s="1890">
        <f>'Expenditures 15-22'!H64</f>
        <v>90</v>
      </c>
      <c r="D1033" s="2" t="str">
        <f t="shared" si="15"/>
        <v>Error?</v>
      </c>
    </row>
    <row r="1034" spans="1:4" x14ac:dyDescent="0.2">
      <c r="A1034" s="10">
        <v>973</v>
      </c>
      <c r="B1034" s="1890"/>
      <c r="D1034" s="2" t="str">
        <f t="shared" si="15"/>
        <v>OK</v>
      </c>
    </row>
    <row r="1035" spans="1:4" x14ac:dyDescent="0.2">
      <c r="A1035" s="5">
        <v>974</v>
      </c>
      <c r="B1035" s="1890">
        <f>'Expenditures 15-22'!H65</f>
        <v>841</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350</v>
      </c>
      <c r="D1041" s="2" t="str">
        <f t="shared" si="15"/>
        <v>Error?</v>
      </c>
    </row>
    <row r="1042" spans="1:5" x14ac:dyDescent="0.2">
      <c r="A1042" s="10">
        <v>981</v>
      </c>
      <c r="B1042" s="1890"/>
      <c r="D1042" s="2" t="str">
        <f t="shared" si="15"/>
        <v>OK</v>
      </c>
    </row>
    <row r="1043" spans="1:5" x14ac:dyDescent="0.2">
      <c r="A1043" s="5">
        <v>982</v>
      </c>
      <c r="B1043" s="1890">
        <f>'Expenditures 15-22'!H72</f>
        <v>350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16017</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104872</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135761</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1956188</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141651</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2789835</v>
      </c>
      <c r="C1108" s="2" t="s">
        <v>569</v>
      </c>
      <c r="D1108" s="2" t="str">
        <f t="shared" si="16"/>
        <v>Error?</v>
      </c>
    </row>
    <row r="1109" spans="1:4" x14ac:dyDescent="0.2">
      <c r="A1109" s="5">
        <v>1048</v>
      </c>
      <c r="B1109" s="1890">
        <f>'Expenditures 15-22'!K36</f>
        <v>69794</v>
      </c>
      <c r="C1109" s="2" t="s">
        <v>569</v>
      </c>
      <c r="D1109" s="2" t="str">
        <f t="shared" si="16"/>
        <v>Error?</v>
      </c>
    </row>
    <row r="1110" spans="1:4" x14ac:dyDescent="0.2">
      <c r="A1110" s="5">
        <v>1049</v>
      </c>
      <c r="B1110" s="1890">
        <f>'Expenditures 15-22'!K37</f>
        <v>71786</v>
      </c>
      <c r="C1110" s="2" t="s">
        <v>569</v>
      </c>
      <c r="D1110" s="2" t="str">
        <f t="shared" si="16"/>
        <v>Error?</v>
      </c>
    </row>
    <row r="1111" spans="1:4" x14ac:dyDescent="0.2">
      <c r="A1111" s="5">
        <v>1050</v>
      </c>
      <c r="B1111" s="1890">
        <f>'Expenditures 15-22'!K38</f>
        <v>1481</v>
      </c>
      <c r="C1111" s="2" t="s">
        <v>569</v>
      </c>
      <c r="D1111" s="2" t="str">
        <f t="shared" si="16"/>
        <v>Error?</v>
      </c>
    </row>
    <row r="1112" spans="1:4" x14ac:dyDescent="0.2">
      <c r="A1112" s="5">
        <v>1051</v>
      </c>
      <c r="B1112" s="1890">
        <f>'Expenditures 15-22'!K39</f>
        <v>39621</v>
      </c>
      <c r="C1112" s="2" t="s">
        <v>569</v>
      </c>
      <c r="D1112" s="2" t="str">
        <f t="shared" si="16"/>
        <v>Error?</v>
      </c>
    </row>
    <row r="1113" spans="1:4" x14ac:dyDescent="0.2">
      <c r="A1113" s="5">
        <v>1052</v>
      </c>
      <c r="B1113" s="1890">
        <f>'Expenditures 15-22'!K40</f>
        <v>64866</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247548</v>
      </c>
      <c r="C1115" s="2" t="s">
        <v>569</v>
      </c>
      <c r="D1115" s="2" t="str">
        <f t="shared" si="16"/>
        <v>Error?</v>
      </c>
    </row>
    <row r="1116" spans="1:4" x14ac:dyDescent="0.2">
      <c r="A1116" s="5">
        <v>1055</v>
      </c>
      <c r="B1116" s="1890">
        <f>'Expenditures 15-22'!K44</f>
        <v>33511</v>
      </c>
      <c r="C1116" s="2" t="s">
        <v>569</v>
      </c>
      <c r="D1116" s="2" t="str">
        <f t="shared" si="16"/>
        <v>Error?</v>
      </c>
    </row>
    <row r="1117" spans="1:4" x14ac:dyDescent="0.2">
      <c r="A1117" s="5">
        <v>1056</v>
      </c>
      <c r="B1117" s="1890">
        <f>'Expenditures 15-22'!K45</f>
        <v>25421</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58932</v>
      </c>
      <c r="C1119" s="2" t="s">
        <v>569</v>
      </c>
      <c r="D1119" s="2" t="str">
        <f t="shared" si="16"/>
        <v>Error?</v>
      </c>
    </row>
    <row r="1120" spans="1:4" x14ac:dyDescent="0.2">
      <c r="A1120" s="5">
        <v>1059</v>
      </c>
      <c r="B1120" s="1890">
        <f>'Expenditures 15-22'!K49</f>
        <v>81435</v>
      </c>
      <c r="C1120" s="2" t="s">
        <v>569</v>
      </c>
      <c r="D1120" s="2" t="str">
        <f t="shared" si="16"/>
        <v>Error?</v>
      </c>
    </row>
    <row r="1121" spans="1:4" x14ac:dyDescent="0.2">
      <c r="A1121" s="5">
        <v>1060</v>
      </c>
      <c r="B1121" s="1890">
        <f>'Expenditures 15-22'!K50</f>
        <v>157631</v>
      </c>
      <c r="C1121" s="2" t="s">
        <v>569</v>
      </c>
      <c r="D1121" s="2" t="str">
        <f t="shared" si="16"/>
        <v>Error?</v>
      </c>
    </row>
    <row r="1122" spans="1:4" x14ac:dyDescent="0.2">
      <c r="A1122" s="5">
        <v>1061</v>
      </c>
      <c r="B1122" s="1890">
        <f>'Expenditures 15-22'!K53</f>
        <v>239066</v>
      </c>
      <c r="C1122" s="2" t="s">
        <v>569</v>
      </c>
      <c r="D1122" s="2" t="str">
        <f t="shared" si="16"/>
        <v>Error?</v>
      </c>
    </row>
    <row r="1123" spans="1:4" x14ac:dyDescent="0.2">
      <c r="A1123" s="5">
        <v>1062</v>
      </c>
      <c r="B1123" s="1890">
        <f>'Expenditures 15-22'!K55</f>
        <v>239273</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239273</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91811</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173855</v>
      </c>
      <c r="C1130" s="2" t="s">
        <v>569</v>
      </c>
      <c r="D1130" s="2" t="str">
        <f t="shared" si="16"/>
        <v>Error?</v>
      </c>
    </row>
    <row r="1131" spans="1:4" x14ac:dyDescent="0.2">
      <c r="A1131" s="5">
        <v>1070</v>
      </c>
      <c r="B1131" s="1890">
        <f>'Expenditures 15-22'!K64</f>
        <v>17632</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283298</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138663</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138663</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1206780</v>
      </c>
      <c r="C1143" s="2" t="s">
        <v>569</v>
      </c>
      <c r="D1143" s="2" t="str">
        <f t="shared" si="16"/>
        <v>Error?</v>
      </c>
    </row>
    <row r="1144" spans="1:4" x14ac:dyDescent="0.2">
      <c r="A1144" s="5">
        <v>1083</v>
      </c>
      <c r="B1144" s="1890">
        <f>'Expenditures 15-22'!K75</f>
        <v>32442</v>
      </c>
      <c r="C1144" s="2" t="s">
        <v>569</v>
      </c>
      <c r="D1144" s="2" t="str">
        <f t="shared" si="16"/>
        <v>Error?</v>
      </c>
    </row>
    <row r="1145" spans="1:4" x14ac:dyDescent="0.2">
      <c r="A1145" s="5">
        <v>1084</v>
      </c>
      <c r="B1145" s="1890">
        <f>'Expenditures 15-22'!K102</f>
        <v>164776</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4193833</v>
      </c>
      <c r="C1152" s="2" t="s">
        <v>569</v>
      </c>
      <c r="D1152" s="2" t="str">
        <f t="shared" si="17"/>
        <v>Error?</v>
      </c>
    </row>
    <row r="1153" spans="1:4" x14ac:dyDescent="0.2">
      <c r="A1153" s="5">
        <v>1092</v>
      </c>
      <c r="B1153" s="1890">
        <f>'Expenditures 15-22'!K115</f>
        <v>526252</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130052</v>
      </c>
      <c r="D1221" s="2" t="str">
        <f t="shared" si="18"/>
        <v>Error?</v>
      </c>
    </row>
    <row r="1222" spans="1:4" x14ac:dyDescent="0.2">
      <c r="A1222" s="10">
        <v>1161</v>
      </c>
      <c r="B1222" s="1890"/>
      <c r="D1222" s="2" t="str">
        <f t="shared" si="18"/>
        <v>OK</v>
      </c>
    </row>
    <row r="1223" spans="1:4" x14ac:dyDescent="0.2">
      <c r="A1223" s="5">
        <v>1162</v>
      </c>
      <c r="B1223" s="1890">
        <f>'Expenditures 15-22'!C127</f>
        <v>130052</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130052</v>
      </c>
      <c r="C1225" s="2" t="s">
        <v>569</v>
      </c>
      <c r="D1225" s="2" t="str">
        <f t="shared" si="18"/>
        <v>Error?</v>
      </c>
    </row>
    <row r="1226" spans="1:4" x14ac:dyDescent="0.2">
      <c r="A1226" s="5">
        <v>1165</v>
      </c>
      <c r="B1226" s="1890">
        <f>'Expenditures 15-22'!C151</f>
        <v>130052</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23695</v>
      </c>
      <c r="D1229" s="2" t="str">
        <f t="shared" si="18"/>
        <v>Error?</v>
      </c>
    </row>
    <row r="1230" spans="1:4" x14ac:dyDescent="0.2">
      <c r="A1230" s="10">
        <v>1169</v>
      </c>
      <c r="B1230" s="1890"/>
      <c r="D1230" s="2" t="str">
        <f t="shared" si="18"/>
        <v>OK</v>
      </c>
    </row>
    <row r="1231" spans="1:4" x14ac:dyDescent="0.2">
      <c r="A1231" s="5">
        <v>1170</v>
      </c>
      <c r="B1231" s="1890">
        <f>'Expenditures 15-22'!D127</f>
        <v>23695</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23695</v>
      </c>
      <c r="C1233" s="2" t="s">
        <v>569</v>
      </c>
      <c r="D1233" s="2" t="str">
        <f t="shared" si="18"/>
        <v>Error?</v>
      </c>
    </row>
    <row r="1234" spans="1:4" x14ac:dyDescent="0.2">
      <c r="A1234" s="5">
        <v>1173</v>
      </c>
      <c r="B1234" s="1890">
        <f>'Expenditures 15-22'!D151</f>
        <v>23695</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112600</v>
      </c>
      <c r="D1237" s="2" t="str">
        <f t="shared" si="18"/>
        <v>Error?</v>
      </c>
    </row>
    <row r="1238" spans="1:4" x14ac:dyDescent="0.2">
      <c r="A1238" s="10">
        <v>1177</v>
      </c>
      <c r="B1238" s="1890"/>
      <c r="D1238" s="2" t="str">
        <f t="shared" si="18"/>
        <v>OK</v>
      </c>
    </row>
    <row r="1239" spans="1:4" x14ac:dyDescent="0.2">
      <c r="A1239" s="5">
        <v>1178</v>
      </c>
      <c r="B1239" s="1890">
        <f>'Expenditures 15-22'!E127</f>
        <v>112600</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112600</v>
      </c>
      <c r="C1241" s="2" t="s">
        <v>569</v>
      </c>
      <c r="D1241" s="2" t="str">
        <f t="shared" si="18"/>
        <v>Error?</v>
      </c>
    </row>
    <row r="1242" spans="1:4" x14ac:dyDescent="0.2">
      <c r="A1242" s="5">
        <v>1181</v>
      </c>
      <c r="B1242" s="1890">
        <f>'Expenditures 15-22'!E151</f>
        <v>112600</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129396</v>
      </c>
      <c r="D1245" s="2" t="str">
        <f t="shared" si="18"/>
        <v>Error?</v>
      </c>
    </row>
    <row r="1246" spans="1:4" x14ac:dyDescent="0.2">
      <c r="A1246" s="10">
        <v>1185</v>
      </c>
      <c r="B1246" s="1890"/>
      <c r="D1246" s="2" t="str">
        <f t="shared" si="18"/>
        <v>OK</v>
      </c>
    </row>
    <row r="1247" spans="1:4" x14ac:dyDescent="0.2">
      <c r="A1247" s="5">
        <v>1186</v>
      </c>
      <c r="B1247" s="1890">
        <f>'Expenditures 15-22'!F127</f>
        <v>129396</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129396</v>
      </c>
      <c r="C1249" s="2" t="s">
        <v>569</v>
      </c>
      <c r="D1249" s="2" t="str">
        <f t="shared" si="18"/>
        <v>Error?</v>
      </c>
    </row>
    <row r="1250" spans="1:4" x14ac:dyDescent="0.2">
      <c r="A1250" s="5">
        <v>1189</v>
      </c>
      <c r="B1250" s="1890">
        <f>'Expenditures 15-22'!F151</f>
        <v>129396</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43831</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43831</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43831</v>
      </c>
      <c r="C1258" s="2" t="s">
        <v>569</v>
      </c>
      <c r="D1258" s="2" t="str">
        <f t="shared" si="18"/>
        <v>Error?</v>
      </c>
    </row>
    <row r="1259" spans="1:4" x14ac:dyDescent="0.2">
      <c r="A1259" s="5">
        <v>1198</v>
      </c>
      <c r="B1259" s="1890">
        <f>'Expenditures 15-22'!G151</f>
        <v>43831</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300</v>
      </c>
      <c r="D1262" s="2" t="str">
        <f t="shared" si="18"/>
        <v>Error?</v>
      </c>
    </row>
    <row r="1263" spans="1:4" x14ac:dyDescent="0.2">
      <c r="A1263" s="10">
        <v>1202</v>
      </c>
      <c r="B1263" s="1890"/>
      <c r="D1263" s="2" t="str">
        <f t="shared" si="18"/>
        <v>OK</v>
      </c>
    </row>
    <row r="1264" spans="1:4" x14ac:dyDescent="0.2">
      <c r="A1264" s="5">
        <v>1203</v>
      </c>
      <c r="B1264" s="1890">
        <f>'Expenditures 15-22'!H127</f>
        <v>300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300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300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439874</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439874</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439874</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439874</v>
      </c>
      <c r="C1288" s="2" t="s">
        <v>569</v>
      </c>
      <c r="D1288" s="2" t="str">
        <f t="shared" si="19"/>
        <v>Error?</v>
      </c>
    </row>
    <row r="1289" spans="1:4" x14ac:dyDescent="0.2">
      <c r="A1289" s="5">
        <v>1228</v>
      </c>
      <c r="B1289" s="1890">
        <f>'Expenditures 15-22'!K152</f>
        <v>46404</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74625</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365000</v>
      </c>
      <c r="D1315" s="2" t="str">
        <f t="shared" si="19"/>
        <v>Error?</v>
      </c>
    </row>
    <row r="1316" spans="1:4" x14ac:dyDescent="0.2">
      <c r="A1316" s="5">
        <v>1255</v>
      </c>
      <c r="B1316" s="1890">
        <f>'Expenditures 15-22'!H171</f>
        <v>1425</v>
      </c>
      <c r="D1316" s="2" t="str">
        <f t="shared" si="19"/>
        <v>Error?</v>
      </c>
    </row>
    <row r="1317" spans="1:4" x14ac:dyDescent="0.2">
      <c r="A1317" s="5">
        <v>1256</v>
      </c>
      <c r="B1317" s="1890">
        <f>'Expenditures 15-22'!H172</f>
        <v>441050</v>
      </c>
      <c r="C1317" s="2" t="s">
        <v>569</v>
      </c>
      <c r="D1317" s="2" t="str">
        <f t="shared" si="19"/>
        <v>Error?</v>
      </c>
    </row>
    <row r="1318" spans="1:4" x14ac:dyDescent="0.2">
      <c r="A1318" s="5">
        <v>1257</v>
      </c>
      <c r="B1318" s="1890">
        <f>'Expenditures 15-22'!H174</f>
        <v>441050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74625</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365000</v>
      </c>
      <c r="C1329" s="2" t="s">
        <v>569</v>
      </c>
      <c r="D1329" s="2" t="str">
        <f t="shared" si="19"/>
        <v>Error?</v>
      </c>
    </row>
    <row r="1330" spans="1:4" x14ac:dyDescent="0.2">
      <c r="A1330" s="5">
        <v>1269</v>
      </c>
      <c r="B1330" s="1890">
        <f>'Expenditures 15-22'!K171</f>
        <v>1425</v>
      </c>
      <c r="C1330" s="2" t="s">
        <v>569</v>
      </c>
      <c r="D1330" s="2" t="str">
        <f t="shared" si="19"/>
        <v>Error?</v>
      </c>
    </row>
    <row r="1331" spans="1:4" x14ac:dyDescent="0.2">
      <c r="A1331" s="5">
        <v>1270</v>
      </c>
      <c r="B1331" s="1890">
        <f>'Expenditures 15-22'!K172</f>
        <v>441050</v>
      </c>
      <c r="C1331" s="2" t="s">
        <v>569</v>
      </c>
      <c r="D1331" s="2" t="str">
        <f t="shared" si="19"/>
        <v>Error?</v>
      </c>
    </row>
    <row r="1332" spans="1:4" x14ac:dyDescent="0.2">
      <c r="A1332" s="5">
        <v>1271</v>
      </c>
      <c r="B1332" s="1890">
        <f>'Expenditures 15-22'!K174</f>
        <v>441050</v>
      </c>
      <c r="C1332" s="2" t="s">
        <v>569</v>
      </c>
      <c r="D1332" s="2" t="str">
        <f t="shared" si="19"/>
        <v>Error?</v>
      </c>
    </row>
    <row r="1333" spans="1:4" x14ac:dyDescent="0.2">
      <c r="A1333" s="5">
        <v>1272</v>
      </c>
      <c r="B1333" s="1890">
        <f>'Expenditures 15-22'!K175</f>
        <v>-3575</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95677</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95677</v>
      </c>
      <c r="C1339" s="2" t="s">
        <v>569</v>
      </c>
      <c r="D1339" s="2" t="str">
        <f t="shared" si="19"/>
        <v>Error?</v>
      </c>
    </row>
    <row r="1340" spans="1:4" x14ac:dyDescent="0.2">
      <c r="A1340" s="5">
        <v>1279</v>
      </c>
      <c r="B1340" s="1890">
        <f>'Expenditures 15-22'!C210</f>
        <v>95677</v>
      </c>
      <c r="C1340" s="2" t="s">
        <v>569</v>
      </c>
      <c r="D1340" s="2" t="str">
        <f t="shared" si="19"/>
        <v>Error?</v>
      </c>
    </row>
    <row r="1341" spans="1:4" x14ac:dyDescent="0.2">
      <c r="A1341" s="5">
        <v>1280</v>
      </c>
      <c r="B1341" s="1890">
        <f>'Expenditures 15-22'!D182</f>
        <v>11</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11</v>
      </c>
      <c r="C1345" s="2" t="s">
        <v>569</v>
      </c>
      <c r="D1345" s="2" t="str">
        <f t="shared" si="20"/>
        <v>Error?</v>
      </c>
    </row>
    <row r="1346" spans="1:4" x14ac:dyDescent="0.2">
      <c r="A1346" s="5">
        <v>1285</v>
      </c>
      <c r="B1346" s="1890">
        <f>'Expenditures 15-22'!D210</f>
        <v>11</v>
      </c>
      <c r="C1346" s="2" t="s">
        <v>569</v>
      </c>
      <c r="D1346" s="2" t="str">
        <f t="shared" si="20"/>
        <v>Error?</v>
      </c>
    </row>
    <row r="1347" spans="1:4" x14ac:dyDescent="0.2">
      <c r="A1347" s="5">
        <v>1286</v>
      </c>
      <c r="B1347" s="1890">
        <f>'Expenditures 15-22'!E182</f>
        <v>34625</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34625</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34625</v>
      </c>
      <c r="C1353" s="2" t="s">
        <v>569</v>
      </c>
      <c r="D1353" s="2" t="str">
        <f t="shared" si="20"/>
        <v>Error?</v>
      </c>
    </row>
    <row r="1354" spans="1:4" x14ac:dyDescent="0.2">
      <c r="A1354" s="5">
        <v>1293</v>
      </c>
      <c r="B1354" s="1890">
        <f>'Expenditures 15-22'!F182</f>
        <v>17943</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17943</v>
      </c>
      <c r="C1358" s="2" t="s">
        <v>569</v>
      </c>
      <c r="D1358" s="2" t="str">
        <f t="shared" si="20"/>
        <v>Error?</v>
      </c>
    </row>
    <row r="1359" spans="1:4" x14ac:dyDescent="0.2">
      <c r="A1359" s="5">
        <v>1298</v>
      </c>
      <c r="B1359" s="1890">
        <f>'Expenditures 15-22'!F210</f>
        <v>17943</v>
      </c>
      <c r="C1359" s="2" t="s">
        <v>569</v>
      </c>
      <c r="D1359" s="2" t="str">
        <f t="shared" si="20"/>
        <v>Error?</v>
      </c>
    </row>
    <row r="1360" spans="1:4" x14ac:dyDescent="0.2">
      <c r="A1360" s="5">
        <v>1299</v>
      </c>
      <c r="B1360" s="1890">
        <f>'Expenditures 15-22'!G182</f>
        <v>13049</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13049</v>
      </c>
      <c r="C1364" s="2" t="s">
        <v>569</v>
      </c>
      <c r="D1364" s="2" t="str">
        <f t="shared" si="20"/>
        <v>Error?</v>
      </c>
    </row>
    <row r="1365" spans="1:4" x14ac:dyDescent="0.2">
      <c r="A1365" s="5">
        <v>1304</v>
      </c>
      <c r="B1365" s="1890">
        <f>'Expenditures 15-22'!G210</f>
        <v>13049</v>
      </c>
      <c r="C1365" s="2" t="s">
        <v>569</v>
      </c>
      <c r="D1365" s="2" t="str">
        <f t="shared" si="20"/>
        <v>Error?</v>
      </c>
    </row>
    <row r="1366" spans="1:4" x14ac:dyDescent="0.2">
      <c r="A1366" s="5">
        <v>1305</v>
      </c>
      <c r="B1366" s="1890">
        <f>'Expenditures 15-22'!H182</f>
        <v>352</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352</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352</v>
      </c>
      <c r="C1376" s="2" t="s">
        <v>569</v>
      </c>
      <c r="D1376" s="2" t="str">
        <f t="shared" si="20"/>
        <v>Error?</v>
      </c>
    </row>
    <row r="1377" spans="1:4" x14ac:dyDescent="0.2">
      <c r="A1377" s="5">
        <v>1316</v>
      </c>
      <c r="B1377" s="1890">
        <f>'Expenditures 15-22'!K182</f>
        <v>161657</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161657</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161657</v>
      </c>
      <c r="C1388" s="2" t="s">
        <v>569</v>
      </c>
      <c r="D1388" s="2" t="str">
        <f t="shared" si="20"/>
        <v>Error?</v>
      </c>
    </row>
    <row r="1389" spans="1:4" x14ac:dyDescent="0.2">
      <c r="A1389" s="5">
        <v>1328</v>
      </c>
      <c r="B1389" s="1890">
        <f>'Expenditures 15-22'!K211</f>
        <v>78677</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2952</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52451</v>
      </c>
      <c r="C1410" s="2" t="s">
        <v>569</v>
      </c>
      <c r="D1410" s="2" t="str">
        <f t="shared" si="21"/>
        <v>Error?</v>
      </c>
    </row>
    <row r="1411" spans="1:4" x14ac:dyDescent="0.2">
      <c r="A1411" s="5">
        <v>1350</v>
      </c>
      <c r="B1411" s="1890">
        <f>'Expenditures 15-22'!D232</f>
        <v>712</v>
      </c>
      <c r="D1411" s="2" t="str">
        <f t="shared" si="21"/>
        <v>Error?</v>
      </c>
    </row>
    <row r="1412" spans="1:4" x14ac:dyDescent="0.2">
      <c r="A1412" s="5">
        <v>1351</v>
      </c>
      <c r="B1412" s="1890">
        <f>'Expenditures 15-22'!D233</f>
        <v>726</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1438</v>
      </c>
      <c r="C1417" s="2" t="s">
        <v>569</v>
      </c>
      <c r="D1417" s="2" t="str">
        <f t="shared" si="21"/>
        <v>Error?</v>
      </c>
    </row>
    <row r="1418" spans="1:4" x14ac:dyDescent="0.2">
      <c r="A1418" s="5">
        <v>1357</v>
      </c>
      <c r="B1418" s="1890">
        <f>'Expenditures 15-22'!D240</f>
        <v>550</v>
      </c>
      <c r="D1418" s="2" t="str">
        <f t="shared" si="21"/>
        <v>Error?</v>
      </c>
    </row>
    <row r="1419" spans="1:4" x14ac:dyDescent="0.2">
      <c r="A1419" s="5">
        <v>1358</v>
      </c>
      <c r="B1419" s="1890">
        <f>'Expenditures 15-22'!D241</f>
        <v>225</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775</v>
      </c>
      <c r="C1421" s="2" t="s">
        <v>569</v>
      </c>
      <c r="D1421" s="2" t="str">
        <f t="shared" si="21"/>
        <v>Error?</v>
      </c>
    </row>
    <row r="1422" spans="1:4" x14ac:dyDescent="0.2">
      <c r="A1422" s="5">
        <v>1361</v>
      </c>
      <c r="B1422" s="1890">
        <f>'Expenditures 15-22'!D245</f>
        <v>584</v>
      </c>
      <c r="D1422" s="2" t="str">
        <f t="shared" si="21"/>
        <v>Error?</v>
      </c>
    </row>
    <row r="1423" spans="1:4" x14ac:dyDescent="0.2">
      <c r="A1423" s="5">
        <v>1362</v>
      </c>
      <c r="B1423" s="1890">
        <f>'Expenditures 15-22'!D246</f>
        <v>1789</v>
      </c>
      <c r="D1423" s="2" t="str">
        <f t="shared" si="21"/>
        <v>Error?</v>
      </c>
    </row>
    <row r="1424" spans="1:4" x14ac:dyDescent="0.2">
      <c r="A1424" s="5">
        <v>1363</v>
      </c>
      <c r="B1424" s="1890">
        <f>'Expenditures 15-22'!D257</f>
        <v>2373</v>
      </c>
      <c r="C1424" s="2" t="s">
        <v>569</v>
      </c>
      <c r="D1424" s="2" t="str">
        <f t="shared" si="21"/>
        <v>Error?</v>
      </c>
    </row>
    <row r="1425" spans="1:4" x14ac:dyDescent="0.2">
      <c r="A1425" s="5">
        <v>1364</v>
      </c>
      <c r="B1425" s="1890">
        <f>'Expenditures 15-22'!D259</f>
        <v>6872</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6872</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11680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17196</v>
      </c>
      <c r="D1431" s="2" t="str">
        <f t="shared" si="21"/>
        <v>Error?</v>
      </c>
    </row>
    <row r="1432" spans="1:4" x14ac:dyDescent="0.2">
      <c r="A1432" s="5">
        <v>1371</v>
      </c>
      <c r="B1432" s="1890">
        <f>'Expenditures 15-22'!D267</f>
        <v>9668</v>
      </c>
      <c r="D1432" s="2" t="str">
        <f t="shared" si="21"/>
        <v>Error?</v>
      </c>
    </row>
    <row r="1433" spans="1:4" x14ac:dyDescent="0.2">
      <c r="A1433" s="5">
        <v>1372</v>
      </c>
      <c r="B1433" s="1890">
        <f>'Expenditures 15-22'!D268</f>
        <v>9525</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48069</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391</v>
      </c>
      <c r="D1442" s="2" t="str">
        <f t="shared" si="21"/>
        <v>Error?</v>
      </c>
    </row>
    <row r="1443" spans="1:4" x14ac:dyDescent="0.2">
      <c r="A1443" s="10">
        <v>1382</v>
      </c>
      <c r="B1443" s="1890"/>
      <c r="D1443" s="2" t="str">
        <f t="shared" si="21"/>
        <v>OK</v>
      </c>
    </row>
    <row r="1444" spans="1:4" x14ac:dyDescent="0.2">
      <c r="A1444" s="5">
        <v>1383</v>
      </c>
      <c r="B1444" s="1890">
        <f>'Expenditures 15-22'!D277</f>
        <v>391</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59918</v>
      </c>
      <c r="C1446" s="2" t="s">
        <v>569</v>
      </c>
      <c r="D1446" s="2" t="str">
        <f t="shared" si="21"/>
        <v>Error?</v>
      </c>
    </row>
    <row r="1447" spans="1:4" x14ac:dyDescent="0.2">
      <c r="A1447" s="5">
        <v>1386</v>
      </c>
      <c r="B1447" s="1890">
        <f>'Expenditures 15-22'!D280</f>
        <v>3227</v>
      </c>
      <c r="D1447" s="2" t="str">
        <f t="shared" si="21"/>
        <v>Error?</v>
      </c>
    </row>
    <row r="1448" spans="1:4" x14ac:dyDescent="0.2">
      <c r="A1448" s="5">
        <v>1387</v>
      </c>
      <c r="B1448" s="1890">
        <f>'Expenditures 15-22'!D295</f>
        <v>115596</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2952</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52451</v>
      </c>
      <c r="C1474" s="2" t="s">
        <v>569</v>
      </c>
      <c r="D1474" s="2" t="str">
        <f t="shared" si="22"/>
        <v>Error?</v>
      </c>
    </row>
    <row r="1475" spans="1:4" x14ac:dyDescent="0.2">
      <c r="A1475" s="5">
        <v>1414</v>
      </c>
      <c r="B1475" s="1890">
        <f>'Expenditures 15-22'!K232</f>
        <v>712</v>
      </c>
      <c r="C1475" s="2" t="s">
        <v>569</v>
      </c>
      <c r="D1475" s="2" t="str">
        <f t="shared" si="22"/>
        <v>Error?</v>
      </c>
    </row>
    <row r="1476" spans="1:4" x14ac:dyDescent="0.2">
      <c r="A1476" s="5">
        <v>1415</v>
      </c>
      <c r="B1476" s="1890">
        <f>'Expenditures 15-22'!K233</f>
        <v>726</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1438</v>
      </c>
      <c r="C1481" s="2" t="s">
        <v>569</v>
      </c>
      <c r="D1481" s="2" t="str">
        <f t="shared" si="22"/>
        <v>Error?</v>
      </c>
    </row>
    <row r="1482" spans="1:4" x14ac:dyDescent="0.2">
      <c r="A1482" s="5">
        <v>1421</v>
      </c>
      <c r="B1482" s="1890">
        <f>'Expenditures 15-22'!K240</f>
        <v>550</v>
      </c>
      <c r="C1482" s="2" t="s">
        <v>569</v>
      </c>
      <c r="D1482" s="2" t="str">
        <f t="shared" si="22"/>
        <v>Error?</v>
      </c>
    </row>
    <row r="1483" spans="1:4" x14ac:dyDescent="0.2">
      <c r="A1483" s="5">
        <v>1422</v>
      </c>
      <c r="B1483" s="1890">
        <f>'Expenditures 15-22'!K241</f>
        <v>225</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775</v>
      </c>
      <c r="C1485" s="2" t="s">
        <v>569</v>
      </c>
      <c r="D1485" s="2" t="str">
        <f t="shared" si="22"/>
        <v>Error?</v>
      </c>
    </row>
    <row r="1486" spans="1:4" x14ac:dyDescent="0.2">
      <c r="A1486" s="5">
        <v>1425</v>
      </c>
      <c r="B1486" s="1890">
        <f>'Expenditures 15-22'!K245</f>
        <v>584</v>
      </c>
      <c r="C1486" s="2" t="s">
        <v>569</v>
      </c>
      <c r="D1486" s="2" t="str">
        <f t="shared" si="22"/>
        <v>Error?</v>
      </c>
    </row>
    <row r="1487" spans="1:4" x14ac:dyDescent="0.2">
      <c r="A1487" s="5">
        <v>1426</v>
      </c>
      <c r="B1487" s="1890">
        <f>'Expenditures 15-22'!K246</f>
        <v>1789</v>
      </c>
      <c r="C1487" s="2" t="s">
        <v>569</v>
      </c>
      <c r="D1487" s="2" t="str">
        <f t="shared" si="22"/>
        <v>Error?</v>
      </c>
    </row>
    <row r="1488" spans="1:4" x14ac:dyDescent="0.2">
      <c r="A1488" s="5">
        <v>1427</v>
      </c>
      <c r="B1488" s="1890">
        <f>'Expenditures 15-22'!K257</f>
        <v>2373</v>
      </c>
      <c r="C1488" s="2" t="s">
        <v>569</v>
      </c>
      <c r="D1488" s="2" t="str">
        <f t="shared" si="22"/>
        <v>Error?</v>
      </c>
    </row>
    <row r="1489" spans="1:4" x14ac:dyDescent="0.2">
      <c r="A1489" s="5">
        <v>1428</v>
      </c>
      <c r="B1489" s="1890">
        <f>'Expenditures 15-22'!K259</f>
        <v>6872</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6872</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11680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17196</v>
      </c>
      <c r="C1495" s="2" t="s">
        <v>569</v>
      </c>
      <c r="D1495" s="2" t="str">
        <f t="shared" si="22"/>
        <v>Error?</v>
      </c>
    </row>
    <row r="1496" spans="1:4" x14ac:dyDescent="0.2">
      <c r="A1496" s="5">
        <v>1435</v>
      </c>
      <c r="B1496" s="1890">
        <f>'Expenditures 15-22'!K267</f>
        <v>9668</v>
      </c>
      <c r="C1496" s="2" t="s">
        <v>569</v>
      </c>
      <c r="D1496" s="2" t="str">
        <f t="shared" si="22"/>
        <v>Error?</v>
      </c>
    </row>
    <row r="1497" spans="1:4" x14ac:dyDescent="0.2">
      <c r="A1497" s="5">
        <v>1436</v>
      </c>
      <c r="B1497" s="1890">
        <f>'Expenditures 15-22'!K268</f>
        <v>9525</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48069</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391</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391</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59918</v>
      </c>
      <c r="C1510" s="2" t="s">
        <v>569</v>
      </c>
      <c r="D1510" s="2" t="str">
        <f t="shared" si="22"/>
        <v>Error?</v>
      </c>
    </row>
    <row r="1511" spans="1:4" x14ac:dyDescent="0.2">
      <c r="A1511" s="5">
        <v>1450</v>
      </c>
      <c r="B1511" s="1890">
        <f>'Expenditures 15-22'!K280</f>
        <v>3227</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115596</v>
      </c>
      <c r="C1517" s="2" t="s">
        <v>569</v>
      </c>
      <c r="D1517" s="2" t="str">
        <f t="shared" si="22"/>
        <v>Error?</v>
      </c>
    </row>
    <row r="1518" spans="1:4" x14ac:dyDescent="0.2">
      <c r="A1518" s="5">
        <v>1457</v>
      </c>
      <c r="B1518" s="1890">
        <f>'Expenditures 15-22'!K296</f>
        <v>17659</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3368124</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3894376</v>
      </c>
      <c r="C1630" s="2" t="s">
        <v>569</v>
      </c>
      <c r="D1630" s="2" t="str">
        <f t="shared" si="24"/>
        <v>Error?</v>
      </c>
    </row>
    <row r="1631" spans="1:4" x14ac:dyDescent="0.2">
      <c r="A1631" s="5">
        <v>1570</v>
      </c>
      <c r="B1631" s="1890">
        <f>'Acct Summary 7-8'!D79</f>
        <v>701415</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747819</v>
      </c>
      <c r="C1644" s="2" t="s">
        <v>569</v>
      </c>
      <c r="D1644" s="2" t="str">
        <f t="shared" si="24"/>
        <v>Error?</v>
      </c>
    </row>
    <row r="1645" spans="1:4" x14ac:dyDescent="0.2">
      <c r="A1645" s="5">
        <v>1584</v>
      </c>
      <c r="B1645" s="1890">
        <f>'Acct Summary 7-8'!E79</f>
        <v>15768</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12193</v>
      </c>
      <c r="C1658" s="2" t="s">
        <v>569</v>
      </c>
      <c r="D1658" s="2" t="str">
        <f t="shared" si="24"/>
        <v>Error?</v>
      </c>
    </row>
    <row r="1659" spans="1:4" x14ac:dyDescent="0.2">
      <c r="A1659" s="5">
        <v>1598</v>
      </c>
      <c r="B1659" s="1890">
        <f>'Acct Summary 7-8'!F79</f>
        <v>563784</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642461</v>
      </c>
      <c r="C1672" s="2" t="s">
        <v>569</v>
      </c>
      <c r="D1672" s="2" t="str">
        <f t="shared" si="25"/>
        <v>Error?</v>
      </c>
    </row>
    <row r="1673" spans="1:4" x14ac:dyDescent="0.2">
      <c r="A1673" s="5">
        <v>1612</v>
      </c>
      <c r="B1673" s="1890">
        <f>'Acct Summary 7-8'!G79</f>
        <v>233402</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251061</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2245088</v>
      </c>
      <c r="C1744" s="2" t="s">
        <v>569</v>
      </c>
      <c r="D1744" s="2" t="str">
        <f t="shared" si="26"/>
        <v>Error?</v>
      </c>
    </row>
    <row r="1745" spans="1:5" x14ac:dyDescent="0.2">
      <c r="A1745" s="5">
        <v>1684</v>
      </c>
      <c r="B1745" s="1890">
        <f>'Tax Sched 23'!B5</f>
        <v>405402</v>
      </c>
      <c r="C1745" s="2" t="s">
        <v>569</v>
      </c>
      <c r="D1745" s="2" t="str">
        <f t="shared" si="26"/>
        <v>Error?</v>
      </c>
    </row>
    <row r="1746" spans="1:5" x14ac:dyDescent="0.2">
      <c r="A1746" s="5">
        <v>1685</v>
      </c>
      <c r="B1746" s="1890">
        <f>'Tax Sched 23'!B6</f>
        <v>436654</v>
      </c>
      <c r="C1746" s="2" t="s">
        <v>569</v>
      </c>
      <c r="D1746" s="2" t="str">
        <f t="shared" si="26"/>
        <v>Error?</v>
      </c>
    </row>
    <row r="1747" spans="1:5" x14ac:dyDescent="0.2">
      <c r="A1747" s="5">
        <v>1686</v>
      </c>
      <c r="B1747" s="1890">
        <f>'Tax Sched 23'!B7</f>
        <v>122810</v>
      </c>
      <c r="C1747" s="2" t="s">
        <v>569</v>
      </c>
      <c r="D1747" s="2" t="str">
        <f t="shared" si="26"/>
        <v>Error?</v>
      </c>
    </row>
    <row r="1748" spans="1:5" x14ac:dyDescent="0.2">
      <c r="A1748" s="5">
        <v>1687</v>
      </c>
      <c r="B1748" s="1890">
        <f>'Tax Sched 23'!B8</f>
        <v>55962</v>
      </c>
      <c r="C1748" s="2" t="s">
        <v>569</v>
      </c>
      <c r="D1748" s="2" t="str">
        <f t="shared" si="26"/>
        <v>Error?</v>
      </c>
    </row>
    <row r="1749" spans="1:5" x14ac:dyDescent="0.2">
      <c r="A1749" s="5">
        <v>1688</v>
      </c>
      <c r="B1749" s="1890">
        <f>'Tax Sched 23'!B10</f>
        <v>30772</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204550</v>
      </c>
      <c r="C1752" s="2" t="s">
        <v>569</v>
      </c>
      <c r="D1752" s="2" t="str">
        <f t="shared" si="26"/>
        <v>Error?</v>
      </c>
    </row>
    <row r="1753" spans="1:5" x14ac:dyDescent="0.2">
      <c r="A1753" s="5">
        <v>1692</v>
      </c>
      <c r="B1753" s="1890">
        <f>'Tax Sched 23'!B12</f>
        <v>30772</v>
      </c>
      <c r="C1753" s="2" t="s">
        <v>569</v>
      </c>
      <c r="D1753" s="2" t="str">
        <f t="shared" si="26"/>
        <v>Error?</v>
      </c>
    </row>
    <row r="1754" spans="1:5" x14ac:dyDescent="0.2">
      <c r="A1754" s="5">
        <v>1693</v>
      </c>
      <c r="B1754" s="1890">
        <f>'Tax Sched 23'!B14</f>
        <v>24618</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3661755</v>
      </c>
      <c r="C1759" s="2" t="s">
        <v>569</v>
      </c>
      <c r="D1759" s="2" t="str">
        <f t="shared" si="26"/>
        <v>Error?</v>
      </c>
    </row>
    <row r="1760" spans="1:5" x14ac:dyDescent="0.2">
      <c r="A1760" s="5">
        <v>1699</v>
      </c>
      <c r="B1760" s="1890">
        <f>'Tax Sched 23'!D4</f>
        <v>2188515</v>
      </c>
      <c r="C1760" s="2" t="s">
        <v>569</v>
      </c>
      <c r="D1760" s="2" t="str">
        <f t="shared" si="26"/>
        <v>Error?</v>
      </c>
    </row>
    <row r="1761" spans="1:7" x14ac:dyDescent="0.2">
      <c r="A1761" s="5">
        <v>1700</v>
      </c>
      <c r="B1761" s="1890">
        <f>'Tax Sched 23'!D5</f>
        <v>395152</v>
      </c>
      <c r="C1761" s="2" t="s">
        <v>569</v>
      </c>
      <c r="D1761" s="2" t="str">
        <f t="shared" si="26"/>
        <v>Error?</v>
      </c>
    </row>
    <row r="1762" spans="1:7" s="8" customFormat="1" x14ac:dyDescent="0.2">
      <c r="A1762" s="5">
        <v>1701</v>
      </c>
      <c r="B1762" s="1890">
        <f>'Tax Sched 23'!D6</f>
        <v>426329</v>
      </c>
      <c r="C1762" s="2" t="s">
        <v>569</v>
      </c>
      <c r="D1762" s="2" t="str">
        <f t="shared" si="26"/>
        <v>Error?</v>
      </c>
      <c r="E1762" s="9"/>
      <c r="G1762"/>
    </row>
    <row r="1763" spans="1:7" x14ac:dyDescent="0.2">
      <c r="A1763" s="5">
        <v>1702</v>
      </c>
      <c r="B1763" s="1890">
        <f>'Tax Sched 23'!D7</f>
        <v>120180</v>
      </c>
      <c r="C1763" s="2" t="s">
        <v>569</v>
      </c>
      <c r="D1763" s="2" t="str">
        <f t="shared" si="26"/>
        <v>Error?</v>
      </c>
    </row>
    <row r="1764" spans="1:7" x14ac:dyDescent="0.2">
      <c r="A1764" s="5">
        <v>1703</v>
      </c>
      <c r="B1764" s="1890">
        <f>'Tax Sched 23'!D8</f>
        <v>54717</v>
      </c>
      <c r="C1764" s="2" t="s">
        <v>569</v>
      </c>
      <c r="D1764" s="2" t="str">
        <f t="shared" si="26"/>
        <v>Error?</v>
      </c>
    </row>
    <row r="1765" spans="1:7" x14ac:dyDescent="0.2">
      <c r="A1765" s="5">
        <v>1704</v>
      </c>
      <c r="B1765" s="1890">
        <f>'Tax Sched 23'!D10</f>
        <v>30045</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200613</v>
      </c>
      <c r="C1768" s="2" t="s">
        <v>569</v>
      </c>
      <c r="D1768" s="2" t="str">
        <f t="shared" si="26"/>
        <v>Error?</v>
      </c>
    </row>
    <row r="1769" spans="1:7" x14ac:dyDescent="0.2">
      <c r="A1769" s="5">
        <v>1708</v>
      </c>
      <c r="B1769" s="1890">
        <f>'Tax Sched 23'!D12</f>
        <v>30045</v>
      </c>
      <c r="C1769" s="2" t="s">
        <v>569</v>
      </c>
      <c r="D1769" s="2" t="str">
        <f t="shared" si="26"/>
        <v>Error?</v>
      </c>
    </row>
    <row r="1770" spans="1:7" x14ac:dyDescent="0.2">
      <c r="A1770" s="5">
        <v>1709</v>
      </c>
      <c r="B1770" s="1890">
        <f>'Tax Sched 23'!D14</f>
        <v>24036</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3572632</v>
      </c>
      <c r="C1775" s="2" t="s">
        <v>569</v>
      </c>
      <c r="D1775" s="2" t="str">
        <f t="shared" si="26"/>
        <v>Error?</v>
      </c>
    </row>
    <row r="1776" spans="1:7" x14ac:dyDescent="0.2">
      <c r="A1776" s="5">
        <v>1715</v>
      </c>
      <c r="B1776" s="1890">
        <f>'Tax Sched 23'!C4</f>
        <v>56573</v>
      </c>
      <c r="D1776" s="2" t="str">
        <f t="shared" si="26"/>
        <v>Error?</v>
      </c>
    </row>
    <row r="1777" spans="1:4" x14ac:dyDescent="0.2">
      <c r="A1777" s="5">
        <v>1716</v>
      </c>
      <c r="B1777" s="1890">
        <f>'Tax Sched 23'!C5</f>
        <v>10250</v>
      </c>
      <c r="D1777" s="2" t="str">
        <f t="shared" si="26"/>
        <v>Error?</v>
      </c>
    </row>
    <row r="1778" spans="1:4" x14ac:dyDescent="0.2">
      <c r="A1778" s="5">
        <v>1717</v>
      </c>
      <c r="B1778" s="1890">
        <f>'Tax Sched 23'!C6</f>
        <v>10325</v>
      </c>
      <c r="D1778" s="2" t="str">
        <f t="shared" si="26"/>
        <v>Error?</v>
      </c>
    </row>
    <row r="1779" spans="1:4" x14ac:dyDescent="0.2">
      <c r="A1779" s="5">
        <v>1718</v>
      </c>
      <c r="B1779" s="1890">
        <f>'Tax Sched 23'!C7</f>
        <v>2630</v>
      </c>
      <c r="D1779" s="2" t="str">
        <f t="shared" si="26"/>
        <v>Error?</v>
      </c>
    </row>
    <row r="1780" spans="1:4" x14ac:dyDescent="0.2">
      <c r="A1780" s="5">
        <v>1719</v>
      </c>
      <c r="B1780" s="1890">
        <f>'Tax Sched 23'!C8</f>
        <v>1245</v>
      </c>
      <c r="D1780" s="2" t="str">
        <f t="shared" si="26"/>
        <v>Error?</v>
      </c>
    </row>
    <row r="1781" spans="1:4" x14ac:dyDescent="0.2">
      <c r="A1781" s="5">
        <v>1720</v>
      </c>
      <c r="B1781" s="1890">
        <f>'Tax Sched 23'!C10</f>
        <v>727</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3937</v>
      </c>
      <c r="D1784" s="2" t="str">
        <f t="shared" si="26"/>
        <v>Error?</v>
      </c>
    </row>
    <row r="1785" spans="1:4" x14ac:dyDescent="0.2">
      <c r="A1785" s="5">
        <v>1724</v>
      </c>
      <c r="B1785" s="1890">
        <f>'Tax Sched 23'!C12</f>
        <v>727</v>
      </c>
      <c r="D1785" s="2" t="str">
        <f t="shared" si="26"/>
        <v>Error?</v>
      </c>
    </row>
    <row r="1786" spans="1:4" x14ac:dyDescent="0.2">
      <c r="A1786" s="5">
        <v>1725</v>
      </c>
      <c r="B1786" s="1890">
        <f>'Tax Sched 23'!C14</f>
        <v>582</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89123</v>
      </c>
      <c r="C1791" s="2" t="s">
        <v>569</v>
      </c>
      <c r="D1791" s="2" t="str">
        <f t="shared" ref="D1791:D1854" si="27">IF(ISBLANK(B1791),"OK",IF(A1791-B1791=0,"OK","Error?"))</f>
        <v>Error?</v>
      </c>
    </row>
    <row r="1792" spans="1:4" x14ac:dyDescent="0.2">
      <c r="A1792" s="5">
        <v>1731</v>
      </c>
      <c r="B1792" s="1890">
        <f>'Tax Sched 23'!F4</f>
        <v>2348751</v>
      </c>
      <c r="C1792" s="2" t="s">
        <v>569</v>
      </c>
      <c r="D1792" s="2" t="str">
        <f t="shared" si="27"/>
        <v>Error?</v>
      </c>
    </row>
    <row r="1793" spans="1:4" x14ac:dyDescent="0.2">
      <c r="A1793" s="5">
        <v>1732</v>
      </c>
      <c r="B1793" s="1890">
        <f>'Tax Sched 23'!F5</f>
        <v>450473</v>
      </c>
      <c r="C1793" s="2" t="s">
        <v>569</v>
      </c>
      <c r="D1793" s="2" t="str">
        <f t="shared" si="27"/>
        <v>Error?</v>
      </c>
    </row>
    <row r="1794" spans="1:4" x14ac:dyDescent="0.2">
      <c r="A1794" s="5">
        <v>1733</v>
      </c>
      <c r="B1794" s="1890">
        <f>'Tax Sched 23'!F6</f>
        <v>424523</v>
      </c>
      <c r="C1794" s="2" t="s">
        <v>569</v>
      </c>
      <c r="D1794" s="2" t="str">
        <f t="shared" si="27"/>
        <v>Error?</v>
      </c>
    </row>
    <row r="1795" spans="1:4" x14ac:dyDescent="0.2">
      <c r="A1795" s="5">
        <v>1734</v>
      </c>
      <c r="B1795" s="1890">
        <f>'Tax Sched 23'!F7</f>
        <v>109184</v>
      </c>
      <c r="C1795" s="2" t="s">
        <v>569</v>
      </c>
      <c r="D1795" s="2" t="str">
        <f t="shared" si="27"/>
        <v>Error?</v>
      </c>
    </row>
    <row r="1796" spans="1:4" x14ac:dyDescent="0.2">
      <c r="A1796" s="5">
        <v>1735</v>
      </c>
      <c r="B1796" s="1890">
        <f>'Tax Sched 23'!F8</f>
        <v>51685</v>
      </c>
      <c r="C1796" s="2" t="s">
        <v>569</v>
      </c>
      <c r="D1796" s="2" t="str">
        <f t="shared" si="27"/>
        <v>Error?</v>
      </c>
    </row>
    <row r="1797" spans="1:4" x14ac:dyDescent="0.2">
      <c r="A1797" s="5">
        <v>1736</v>
      </c>
      <c r="B1797" s="1890">
        <f>'Tax Sched 23'!F10</f>
        <v>31949</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163452</v>
      </c>
      <c r="C1800" s="2" t="s">
        <v>569</v>
      </c>
      <c r="D1800" s="2" t="str">
        <f t="shared" si="27"/>
        <v>Error?</v>
      </c>
    </row>
    <row r="1801" spans="1:4" x14ac:dyDescent="0.2">
      <c r="A1801" s="5">
        <v>1740</v>
      </c>
      <c r="B1801" s="1890">
        <f>'Tax Sched 23'!F12</f>
        <v>31949</v>
      </c>
      <c r="C1801" s="2" t="s">
        <v>569</v>
      </c>
      <c r="D1801" s="2" t="str">
        <f t="shared" si="27"/>
        <v>Error?</v>
      </c>
    </row>
    <row r="1802" spans="1:4" x14ac:dyDescent="0.2">
      <c r="A1802" s="5">
        <v>1741</v>
      </c>
      <c r="B1802" s="1890">
        <f>'Tax Sched 23'!F14</f>
        <v>25558</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3727617</v>
      </c>
      <c r="C1807" s="2" t="s">
        <v>569</v>
      </c>
      <c r="D1807" s="2" t="str">
        <f t="shared" si="27"/>
        <v>Error?</v>
      </c>
    </row>
    <row r="1808" spans="1:4" x14ac:dyDescent="0.2">
      <c r="A1808" s="5">
        <v>1747</v>
      </c>
      <c r="B1808" s="1890">
        <f>'Tax Sched 23'!E4</f>
        <v>2405324</v>
      </c>
      <c r="D1808" s="2" t="str">
        <f t="shared" si="27"/>
        <v>Error?</v>
      </c>
    </row>
    <row r="1809" spans="1:4" x14ac:dyDescent="0.2">
      <c r="A1809" s="5">
        <v>1748</v>
      </c>
      <c r="B1809" s="1890">
        <f>'Tax Sched 23'!E5</f>
        <v>460723</v>
      </c>
      <c r="D1809" s="2" t="str">
        <f t="shared" si="27"/>
        <v>Error?</v>
      </c>
    </row>
    <row r="1810" spans="1:4" x14ac:dyDescent="0.2">
      <c r="A1810" s="5">
        <v>1749</v>
      </c>
      <c r="B1810" s="1890">
        <f>'Tax Sched 23'!E6</f>
        <v>434848</v>
      </c>
      <c r="D1810" s="2" t="str">
        <f t="shared" si="27"/>
        <v>Error?</v>
      </c>
    </row>
    <row r="1811" spans="1:4" x14ac:dyDescent="0.2">
      <c r="A1811" s="5">
        <v>1750</v>
      </c>
      <c r="B1811" s="1890">
        <f>'Tax Sched 23'!E7</f>
        <v>111814</v>
      </c>
      <c r="D1811" s="2" t="str">
        <f t="shared" si="27"/>
        <v>Error?</v>
      </c>
    </row>
    <row r="1812" spans="1:4" x14ac:dyDescent="0.2">
      <c r="A1812" s="5">
        <v>1751</v>
      </c>
      <c r="B1812" s="1890">
        <f>'Tax Sched 23'!E8</f>
        <v>52930</v>
      </c>
      <c r="D1812" s="2" t="str">
        <f t="shared" si="27"/>
        <v>Error?</v>
      </c>
    </row>
    <row r="1813" spans="1:4" x14ac:dyDescent="0.2">
      <c r="A1813" s="5">
        <v>1752</v>
      </c>
      <c r="B1813" s="1890">
        <f>'Tax Sched 23'!E10</f>
        <v>32676</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167389</v>
      </c>
      <c r="D1816" s="2" t="str">
        <f t="shared" si="27"/>
        <v>Error?</v>
      </c>
    </row>
    <row r="1817" spans="1:4" x14ac:dyDescent="0.2">
      <c r="A1817" s="5">
        <v>1756</v>
      </c>
      <c r="B1817" s="1890">
        <f>'Tax Sched 23'!E12</f>
        <v>32676</v>
      </c>
      <c r="D1817" s="2" t="str">
        <f t="shared" si="27"/>
        <v>Error?</v>
      </c>
    </row>
    <row r="1818" spans="1:4" x14ac:dyDescent="0.2">
      <c r="A1818" s="5">
        <v>1757</v>
      </c>
      <c r="B1818" s="1890">
        <f>'Tax Sched 23'!E14</f>
        <v>26140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3816740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3200000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24618</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24618</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24618</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160300</v>
      </c>
      <c r="D2008" s="2" t="str">
        <f t="shared" si="30"/>
        <v>Error?</v>
      </c>
    </row>
    <row r="2009" spans="1:4" x14ac:dyDescent="0.2">
      <c r="A2009" s="5">
        <v>1948</v>
      </c>
      <c r="B2009" s="1890">
        <f>'Cap Outlay Deprec 26'!C8</f>
        <v>8234156</v>
      </c>
      <c r="D2009" s="2" t="str">
        <f t="shared" si="30"/>
        <v>Error?</v>
      </c>
    </row>
    <row r="2010" spans="1:4" x14ac:dyDescent="0.2">
      <c r="A2010" s="5">
        <v>1949</v>
      </c>
      <c r="B2010" s="1890">
        <f>'Cap Outlay Deprec 26'!C10</f>
        <v>76673</v>
      </c>
      <c r="D2010" s="2" t="str">
        <f t="shared" si="30"/>
        <v>Error?</v>
      </c>
    </row>
    <row r="2011" spans="1:4" x14ac:dyDescent="0.2">
      <c r="A2011" s="5">
        <v>1950</v>
      </c>
      <c r="B2011" s="1890">
        <f>'Cap Outlay Deprec 26'!C12</f>
        <v>1196898</v>
      </c>
      <c r="D2011" s="2" t="str">
        <f t="shared" si="30"/>
        <v>Error?</v>
      </c>
    </row>
    <row r="2012" spans="1:4" x14ac:dyDescent="0.2">
      <c r="A2012" s="5">
        <v>1951</v>
      </c>
      <c r="B2012" s="1890">
        <f>'Cap Outlay Deprec 26'!C13</f>
        <v>465838</v>
      </c>
      <c r="D2012" s="2" t="str">
        <f t="shared" si="30"/>
        <v>Error?</v>
      </c>
    </row>
    <row r="2013" spans="1:4" x14ac:dyDescent="0.2">
      <c r="A2013" s="5">
        <v>1952</v>
      </c>
      <c r="B2013" s="1890">
        <f>'Cap Outlay Deprec 26'!C16</f>
        <v>10133865</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61051</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30886</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91937</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160300</v>
      </c>
      <c r="C2026" s="2" t="s">
        <v>569</v>
      </c>
      <c r="D2026" s="2" t="str">
        <f t="shared" si="30"/>
        <v>Error?</v>
      </c>
    </row>
    <row r="2027" spans="1:4" x14ac:dyDescent="0.2">
      <c r="A2027" s="5">
        <v>1966</v>
      </c>
      <c r="B2027" s="1890">
        <f>'Cap Outlay Deprec 26'!F8</f>
        <v>8295207</v>
      </c>
      <c r="C2027" s="2" t="s">
        <v>569</v>
      </c>
      <c r="D2027" s="2" t="str">
        <f t="shared" si="30"/>
        <v>Error?</v>
      </c>
    </row>
    <row r="2028" spans="1:4" x14ac:dyDescent="0.2">
      <c r="A2028" s="5">
        <v>1967</v>
      </c>
      <c r="B2028" s="1890">
        <f>'Cap Outlay Deprec 26'!F10</f>
        <v>76673</v>
      </c>
      <c r="C2028" s="2" t="s">
        <v>569</v>
      </c>
      <c r="D2028" s="2" t="str">
        <f t="shared" si="30"/>
        <v>Error?</v>
      </c>
    </row>
    <row r="2029" spans="1:4" x14ac:dyDescent="0.2">
      <c r="A2029" s="5">
        <v>1968</v>
      </c>
      <c r="B2029" s="1890">
        <f>'Cap Outlay Deprec 26'!F12</f>
        <v>1227784</v>
      </c>
      <c r="C2029" s="2" t="s">
        <v>569</v>
      </c>
      <c r="D2029" s="2" t="str">
        <f t="shared" si="30"/>
        <v>Error?</v>
      </c>
    </row>
    <row r="2030" spans="1:4" x14ac:dyDescent="0.2">
      <c r="A2030" s="5">
        <v>1969</v>
      </c>
      <c r="B2030" s="1890">
        <f>'Cap Outlay Deprec 26'!F13</f>
        <v>465838</v>
      </c>
      <c r="C2030" s="2" t="s">
        <v>569</v>
      </c>
      <c r="D2030" s="2" t="str">
        <f t="shared" si="30"/>
        <v>Error?</v>
      </c>
    </row>
    <row r="2031" spans="1:4" x14ac:dyDescent="0.2">
      <c r="A2031" s="5">
        <v>1970</v>
      </c>
      <c r="B2031" s="1890">
        <f>'Cap Outlay Deprec 26'!F16</f>
        <v>10225802</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3844253</v>
      </c>
      <c r="D2033" s="2" t="str">
        <f t="shared" si="30"/>
        <v>Error?</v>
      </c>
    </row>
    <row r="2034" spans="1:4" x14ac:dyDescent="0.2">
      <c r="A2034" s="5">
        <v>1973</v>
      </c>
      <c r="B2034" s="1890">
        <f>'Cap Outlay Deprec 26'!H10</f>
        <v>72027</v>
      </c>
      <c r="D2034" s="2" t="str">
        <f t="shared" si="30"/>
        <v>Error?</v>
      </c>
    </row>
    <row r="2035" spans="1:4" x14ac:dyDescent="0.2">
      <c r="A2035" s="5">
        <v>1974</v>
      </c>
      <c r="B2035" s="1890">
        <f>'Cap Outlay Deprec 26'!H12</f>
        <v>1074978</v>
      </c>
      <c r="D2035" s="2" t="str">
        <f t="shared" si="30"/>
        <v>Error?</v>
      </c>
    </row>
    <row r="2036" spans="1:4" x14ac:dyDescent="0.2">
      <c r="A2036" s="5">
        <v>1975</v>
      </c>
      <c r="B2036" s="1890">
        <f>'Cap Outlay Deprec 26'!H13</f>
        <v>331152</v>
      </c>
      <c r="D2036" s="2" t="str">
        <f t="shared" si="30"/>
        <v>Error?</v>
      </c>
    </row>
    <row r="2037" spans="1:4" x14ac:dyDescent="0.2">
      <c r="A2037" s="5">
        <v>1976</v>
      </c>
      <c r="B2037" s="1890">
        <f>'Cap Outlay Deprec 26'!H16</f>
        <v>5322410</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204360</v>
      </c>
      <c r="D2039" s="2" t="str">
        <f t="shared" si="30"/>
        <v>Error?</v>
      </c>
    </row>
    <row r="2040" spans="1:4" x14ac:dyDescent="0.2">
      <c r="A2040" s="5">
        <v>1979</v>
      </c>
      <c r="B2040" s="1890">
        <f>'Cap Outlay Deprec 26'!I10</f>
        <v>3379</v>
      </c>
      <c r="D2040" s="2" t="str">
        <f t="shared" si="30"/>
        <v>Error?</v>
      </c>
    </row>
    <row r="2041" spans="1:4" x14ac:dyDescent="0.2">
      <c r="A2041" s="5">
        <v>1980</v>
      </c>
      <c r="B2041" s="1890">
        <f>'Cap Outlay Deprec 26'!I12</f>
        <v>32179</v>
      </c>
      <c r="D2041" s="2" t="str">
        <f t="shared" si="30"/>
        <v>Error?</v>
      </c>
    </row>
    <row r="2042" spans="1:4" x14ac:dyDescent="0.2">
      <c r="A2042" s="5">
        <v>1981</v>
      </c>
      <c r="B2042" s="1890">
        <f>'Cap Outlay Deprec 26'!I13</f>
        <v>35380</v>
      </c>
      <c r="D2042" s="2" t="str">
        <f t="shared" si="30"/>
        <v>Error?</v>
      </c>
    </row>
    <row r="2043" spans="1:4" x14ac:dyDescent="0.2">
      <c r="A2043" s="5">
        <v>1982</v>
      </c>
      <c r="B2043" s="1890">
        <f>'Cap Outlay Deprec 26'!I16</f>
        <v>275298</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4048613</v>
      </c>
      <c r="C2051" s="2" t="s">
        <v>569</v>
      </c>
      <c r="D2051" s="2" t="str">
        <f t="shared" si="31"/>
        <v>Error?</v>
      </c>
    </row>
    <row r="2052" spans="1:4" x14ac:dyDescent="0.2">
      <c r="A2052" s="5">
        <v>1991</v>
      </c>
      <c r="B2052" s="1890">
        <f>'Cap Outlay Deprec 26'!K10</f>
        <v>75406</v>
      </c>
      <c r="C2052" s="2" t="s">
        <v>569</v>
      </c>
      <c r="D2052" s="2" t="str">
        <f t="shared" si="31"/>
        <v>Error?</v>
      </c>
    </row>
    <row r="2053" spans="1:4" x14ac:dyDescent="0.2">
      <c r="A2053" s="5">
        <v>1992</v>
      </c>
      <c r="B2053" s="1890">
        <f>'Cap Outlay Deprec 26'!K12</f>
        <v>1107157</v>
      </c>
      <c r="C2053" s="2" t="s">
        <v>569</v>
      </c>
      <c r="D2053" s="2" t="str">
        <f t="shared" si="31"/>
        <v>Error?</v>
      </c>
    </row>
    <row r="2054" spans="1:4" x14ac:dyDescent="0.2">
      <c r="A2054" s="5">
        <v>1993</v>
      </c>
      <c r="B2054" s="1890">
        <f>'Cap Outlay Deprec 26'!K13</f>
        <v>366532</v>
      </c>
      <c r="C2054" s="2" t="s">
        <v>569</v>
      </c>
      <c r="D2054" s="2" t="str">
        <f t="shared" si="31"/>
        <v>Error?</v>
      </c>
    </row>
    <row r="2055" spans="1:4" x14ac:dyDescent="0.2">
      <c r="A2055" s="5">
        <v>1994</v>
      </c>
      <c r="B2055" s="1890">
        <f>'Cap Outlay Deprec 26'!K16</f>
        <v>5597708</v>
      </c>
      <c r="C2055" s="2" t="s">
        <v>569</v>
      </c>
      <c r="D2055" s="2" t="str">
        <f t="shared" si="31"/>
        <v>Error?</v>
      </c>
    </row>
    <row r="2056" spans="1:4" x14ac:dyDescent="0.2">
      <c r="A2056" s="5">
        <v>1995</v>
      </c>
      <c r="B2056" s="1890">
        <f>'Cap Outlay Deprec 26'!L5</f>
        <v>160300</v>
      </c>
      <c r="C2056" s="2" t="s">
        <v>569</v>
      </c>
      <c r="D2056" s="2" t="str">
        <f t="shared" si="31"/>
        <v>Error?</v>
      </c>
    </row>
    <row r="2057" spans="1:4" x14ac:dyDescent="0.2">
      <c r="A2057" s="5">
        <v>1996</v>
      </c>
      <c r="B2057" s="1890">
        <f>'Cap Outlay Deprec 26'!L8</f>
        <v>4246594</v>
      </c>
      <c r="C2057" s="2" t="s">
        <v>569</v>
      </c>
      <c r="D2057" s="2" t="str">
        <f t="shared" si="31"/>
        <v>Error?</v>
      </c>
    </row>
    <row r="2058" spans="1:4" x14ac:dyDescent="0.2">
      <c r="A2058" s="5">
        <v>1997</v>
      </c>
      <c r="B2058" s="1890">
        <f>'Cap Outlay Deprec 26'!L10</f>
        <v>1267</v>
      </c>
      <c r="C2058" s="2" t="s">
        <v>569</v>
      </c>
      <c r="D2058" s="2" t="str">
        <f t="shared" si="31"/>
        <v>Error?</v>
      </c>
    </row>
    <row r="2059" spans="1:4" x14ac:dyDescent="0.2">
      <c r="A2059" s="5">
        <v>1998</v>
      </c>
      <c r="B2059" s="1890">
        <f>'Cap Outlay Deprec 26'!L12</f>
        <v>120627</v>
      </c>
      <c r="C2059" s="2" t="s">
        <v>569</v>
      </c>
      <c r="D2059" s="2" t="str">
        <f t="shared" si="31"/>
        <v>Error?</v>
      </c>
    </row>
    <row r="2060" spans="1:4" x14ac:dyDescent="0.2">
      <c r="A2060" s="5">
        <v>1999</v>
      </c>
      <c r="B2060" s="1890">
        <f>'Cap Outlay Deprec 26'!L13</f>
        <v>99306</v>
      </c>
      <c r="C2060" s="2" t="s">
        <v>569</v>
      </c>
      <c r="D2060" s="2" t="str">
        <f t="shared" si="31"/>
        <v>Error?</v>
      </c>
    </row>
    <row r="2061" spans="1:4" x14ac:dyDescent="0.2">
      <c r="A2061" s="5">
        <v>2000</v>
      </c>
      <c r="B2061" s="1890">
        <f>'Cap Outlay Deprec 26'!L16</f>
        <v>4628094</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28160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88064</v>
      </c>
      <c r="C2088" s="2" t="s">
        <v>569</v>
      </c>
      <c r="D2088" s="2" t="str">
        <f t="shared" si="31"/>
        <v>Error?</v>
      </c>
    </row>
    <row r="2089" spans="1:4" x14ac:dyDescent="0.2">
      <c r="A2089" s="5">
        <v>2028</v>
      </c>
      <c r="B2089" s="1890">
        <f>'Expenditures 15-22'!K92</f>
        <v>76712</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295814</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54698</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12193</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2776449</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1434312</v>
      </c>
      <c r="C2553" s="2" t="s">
        <v>569</v>
      </c>
      <c r="D2553" s="2" t="str">
        <f t="shared" si="38"/>
        <v>Error?</v>
      </c>
    </row>
    <row r="2554" spans="1:4" x14ac:dyDescent="0.2">
      <c r="A2554" s="5">
        <v>2493</v>
      </c>
      <c r="B2554" s="1890">
        <f>'Acct Summary 7-8'!C7</f>
        <v>509324</v>
      </c>
      <c r="C2554" s="2" t="s">
        <v>569</v>
      </c>
      <c r="D2554" s="2" t="str">
        <f t="shared" si="38"/>
        <v>Error?</v>
      </c>
    </row>
    <row r="2555" spans="1:4" x14ac:dyDescent="0.2">
      <c r="A2555" s="5">
        <v>2494</v>
      </c>
      <c r="B2555" s="1890">
        <f>'Acct Summary 7-8'!C8</f>
        <v>4720085</v>
      </c>
      <c r="C2555" s="2" t="s">
        <v>569</v>
      </c>
      <c r="D2555" s="2" t="str">
        <f t="shared" si="38"/>
        <v>Error?</v>
      </c>
    </row>
    <row r="2556" spans="1:4" x14ac:dyDescent="0.2">
      <c r="A2556" s="5">
        <v>2495</v>
      </c>
      <c r="B2556" s="1890">
        <f>'Acct Summary 7-8'!C12</f>
        <v>2789835</v>
      </c>
      <c r="C2556" s="2" t="s">
        <v>569</v>
      </c>
      <c r="D2556" s="2" t="str">
        <f t="shared" si="38"/>
        <v>Error?</v>
      </c>
    </row>
    <row r="2557" spans="1:4" x14ac:dyDescent="0.2">
      <c r="A2557" s="5">
        <v>2496</v>
      </c>
      <c r="B2557" s="1890">
        <f>'Acct Summary 7-8'!C13</f>
        <v>1206780</v>
      </c>
      <c r="C2557" s="2" t="s">
        <v>569</v>
      </c>
      <c r="D2557" s="2" t="str">
        <f t="shared" si="38"/>
        <v>Error?</v>
      </c>
    </row>
    <row r="2558" spans="1:4" x14ac:dyDescent="0.2">
      <c r="A2558" s="5">
        <v>2497</v>
      </c>
      <c r="B2558" s="1890">
        <f>'Acct Summary 7-8'!C14</f>
        <v>32442</v>
      </c>
      <c r="C2558" s="2" t="s">
        <v>569</v>
      </c>
      <c r="D2558" s="2" t="str">
        <f t="shared" si="38"/>
        <v>Error?</v>
      </c>
    </row>
    <row r="2559" spans="1:4" x14ac:dyDescent="0.2">
      <c r="A2559" s="5">
        <v>2498</v>
      </c>
      <c r="B2559" s="1890">
        <f>'Acct Summary 7-8'!C15</f>
        <v>164776</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4193833</v>
      </c>
      <c r="C2561" s="2" t="s">
        <v>569</v>
      </c>
      <c r="D2561" s="2" t="str">
        <f t="shared" si="39"/>
        <v>Error?</v>
      </c>
    </row>
    <row r="2562" spans="1:4" x14ac:dyDescent="0.2">
      <c r="A2562" s="5">
        <v>2501</v>
      </c>
      <c r="B2562" s="1890">
        <f>'Acct Summary 7-8'!C20</f>
        <v>526252</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436278</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486278</v>
      </c>
      <c r="C2568" s="2" t="s">
        <v>569</v>
      </c>
      <c r="D2568" s="2" t="str">
        <f t="shared" si="39"/>
        <v>Error?</v>
      </c>
    </row>
    <row r="2569" spans="1:4" x14ac:dyDescent="0.2">
      <c r="A2569" s="5">
        <v>2508</v>
      </c>
      <c r="B2569" s="1890">
        <f>'Acct Summary 7-8'!D13</f>
        <v>439874</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439874</v>
      </c>
      <c r="C2573" s="2" t="s">
        <v>569</v>
      </c>
      <c r="D2573" s="2" t="str">
        <f t="shared" si="39"/>
        <v>Error?</v>
      </c>
    </row>
    <row r="2574" spans="1:4" x14ac:dyDescent="0.2">
      <c r="A2574" s="5">
        <v>2513</v>
      </c>
      <c r="B2574" s="1890">
        <f>'Acct Summary 7-8'!D20</f>
        <v>46404</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134792</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105542</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240334</v>
      </c>
      <c r="C2595" s="2" t="s">
        <v>569</v>
      </c>
      <c r="D2595" s="2" t="str">
        <f t="shared" si="39"/>
        <v>Error?</v>
      </c>
    </row>
    <row r="2596" spans="1:4" x14ac:dyDescent="0.2">
      <c r="A2596" s="5">
        <v>2535</v>
      </c>
      <c r="B2596" s="1890">
        <f>'Acct Summary 7-8'!F13</f>
        <v>161657</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161657</v>
      </c>
      <c r="C2600" s="2" t="s">
        <v>569</v>
      </c>
      <c r="D2600" s="2" t="str">
        <f t="shared" si="39"/>
        <v>Error?</v>
      </c>
    </row>
    <row r="2601" spans="1:4" x14ac:dyDescent="0.2">
      <c r="A2601" s="5">
        <v>2540</v>
      </c>
      <c r="B2601" s="1890">
        <f>'Acct Summary 7-8'!F20</f>
        <v>78677</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133255</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133255</v>
      </c>
      <c r="C2606" s="2" t="s">
        <v>569</v>
      </c>
      <c r="D2606" s="2" t="str">
        <f t="shared" si="39"/>
        <v>Error?</v>
      </c>
    </row>
    <row r="2607" spans="1:4" x14ac:dyDescent="0.2">
      <c r="A2607" s="5">
        <v>2546</v>
      </c>
      <c r="B2607" s="1890">
        <f>'Acct Summary 7-8'!G12</f>
        <v>52451</v>
      </c>
      <c r="C2607" s="2" t="s">
        <v>569</v>
      </c>
      <c r="D2607" s="2" t="str">
        <f t="shared" si="39"/>
        <v>Error?</v>
      </c>
    </row>
    <row r="2608" spans="1:4" x14ac:dyDescent="0.2">
      <c r="A2608" s="5">
        <v>2547</v>
      </c>
      <c r="B2608" s="1890">
        <f>'Acct Summary 7-8'!G13</f>
        <v>59918</v>
      </c>
      <c r="C2608" s="2" t="s">
        <v>569</v>
      </c>
      <c r="D2608" s="2" t="str">
        <f t="shared" si="39"/>
        <v>Error?</v>
      </c>
    </row>
    <row r="2609" spans="1:4" x14ac:dyDescent="0.2">
      <c r="A2609" s="5">
        <v>2548</v>
      </c>
      <c r="B2609" s="1890">
        <f>'Acct Summary 7-8'!G14</f>
        <v>3227</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115596</v>
      </c>
      <c r="C2612" s="2" t="s">
        <v>569</v>
      </c>
      <c r="D2612" s="2" t="str">
        <f t="shared" si="39"/>
        <v>Error?</v>
      </c>
    </row>
    <row r="2613" spans="1:4" x14ac:dyDescent="0.2">
      <c r="A2613" s="5">
        <v>2552</v>
      </c>
      <c r="B2613" s="1890">
        <f>'Acct Summary 7-8'!G20</f>
        <v>17659</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437475</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437475</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441050</v>
      </c>
      <c r="C2634" s="2" t="s">
        <v>569</v>
      </c>
      <c r="D2634" s="2" t="str">
        <f t="shared" si="40"/>
        <v>Error?</v>
      </c>
    </row>
    <row r="2635" spans="1:4" x14ac:dyDescent="0.2">
      <c r="A2635" s="5">
        <v>2574</v>
      </c>
      <c r="B2635" s="1890">
        <f>'Acct Summary 7-8'!E17</f>
        <v>441050</v>
      </c>
      <c r="C2635" s="2" t="s">
        <v>569</v>
      </c>
      <c r="D2635" s="2" t="str">
        <f t="shared" si="40"/>
        <v>Error?</v>
      </c>
    </row>
    <row r="2636" spans="1:4" x14ac:dyDescent="0.2">
      <c r="A2636" s="5">
        <v>2575</v>
      </c>
      <c r="B2636" s="1890">
        <f>'Acct Summary 7-8'!E20</f>
        <v>-3575</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59904</v>
      </c>
      <c r="C2789" s="2" t="s">
        <v>569</v>
      </c>
      <c r="D2789" s="2" t="str">
        <f t="shared" si="42"/>
        <v>Error?</v>
      </c>
    </row>
    <row r="2790" spans="1:4" x14ac:dyDescent="0.2">
      <c r="A2790" s="5">
        <v>2729</v>
      </c>
      <c r="B2790" s="1890">
        <f>'Expenditures 15-22'!E102</f>
        <v>59904</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72247</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132942</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46547</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132942</v>
      </c>
      <c r="D2912" s="2" t="str">
        <f t="shared" si="44"/>
        <v>Error?</v>
      </c>
    </row>
    <row r="2913" spans="1:4" x14ac:dyDescent="0.2">
      <c r="A2913" s="5">
        <v>2852</v>
      </c>
      <c r="B2913" s="1890">
        <f>'Assets-Liab 5-6'!I41</f>
        <v>132942</v>
      </c>
      <c r="C2913" s="2" t="s">
        <v>569</v>
      </c>
      <c r="D2913" s="2" t="str">
        <f t="shared" si="44"/>
        <v>Error?</v>
      </c>
    </row>
    <row r="2914" spans="1:4" x14ac:dyDescent="0.2">
      <c r="A2914" s="5">
        <v>2853</v>
      </c>
      <c r="B2914" s="1890">
        <f>'Assets-Liab 5-6'!L33</f>
        <v>46547</v>
      </c>
      <c r="D2914" s="2" t="str">
        <f t="shared" si="44"/>
        <v>Error?</v>
      </c>
    </row>
    <row r="2915" spans="1:4" x14ac:dyDescent="0.2">
      <c r="A2915" s="10">
        <v>2854</v>
      </c>
      <c r="B2915" s="1890"/>
      <c r="D2915" s="2" t="str">
        <f t="shared" si="44"/>
        <v>OK</v>
      </c>
    </row>
    <row r="2916" spans="1:4" x14ac:dyDescent="0.2">
      <c r="A2916" s="5">
        <v>2855</v>
      </c>
      <c r="B2916" s="1890">
        <f>'Assets-Liab 5-6'!L34</f>
        <v>46547</v>
      </c>
      <c r="C2916" s="2" t="s">
        <v>569</v>
      </c>
      <c r="D2916" s="2" t="str">
        <f t="shared" si="44"/>
        <v>Error?</v>
      </c>
    </row>
    <row r="2917" spans="1:4" x14ac:dyDescent="0.2">
      <c r="A2917" s="5">
        <v>2856</v>
      </c>
      <c r="B2917" s="1890">
        <f>'Assets-Liab 5-6'!L41</f>
        <v>46547</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59904</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28160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88064</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29719</v>
      </c>
      <c r="D3055" s="2" t="str">
        <f t="shared" si="46"/>
        <v>Error?</v>
      </c>
    </row>
    <row r="3056" spans="1:4" x14ac:dyDescent="0.2">
      <c r="A3056" s="5">
        <v>2995</v>
      </c>
      <c r="B3056" s="1890">
        <f>'Expenditures 15-22'!D10</f>
        <v>8664</v>
      </c>
      <c r="D3056" s="2" t="str">
        <f t="shared" si="46"/>
        <v>Error?</v>
      </c>
    </row>
    <row r="3057" spans="1:4" x14ac:dyDescent="0.2">
      <c r="A3057" s="5">
        <v>2996</v>
      </c>
      <c r="B3057" s="1890">
        <f>'Expenditures 15-22'!E10</f>
        <v>6870</v>
      </c>
      <c r="D3057" s="2" t="str">
        <f t="shared" si="46"/>
        <v>Error?</v>
      </c>
    </row>
    <row r="3058" spans="1:4" x14ac:dyDescent="0.2">
      <c r="A3058" s="5">
        <v>2997</v>
      </c>
      <c r="B3058" s="1890">
        <f>'Expenditures 15-22'!F10</f>
        <v>40384</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2167</v>
      </c>
      <c r="D3060" s="2" t="str">
        <f t="shared" si="46"/>
        <v>Error?</v>
      </c>
    </row>
    <row r="3061" spans="1:4" x14ac:dyDescent="0.2">
      <c r="A3061" s="10">
        <v>3000</v>
      </c>
      <c r="B3061" s="1890"/>
      <c r="D3061" s="2" t="str">
        <f t="shared" si="46"/>
        <v>OK</v>
      </c>
    </row>
    <row r="3062" spans="1:4" x14ac:dyDescent="0.2">
      <c r="A3062" s="5">
        <v>3001</v>
      </c>
      <c r="B3062" s="1890">
        <f>'Expenditures 15-22'!K10</f>
        <v>87804</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2629</v>
      </c>
      <c r="D3064" s="2" t="str">
        <f t="shared" si="46"/>
        <v>Error?</v>
      </c>
    </row>
    <row r="3065" spans="1:4" x14ac:dyDescent="0.2">
      <c r="A3065" s="5">
        <v>3004</v>
      </c>
      <c r="B3065" s="1890">
        <f>'Expenditures 15-22'!K219</f>
        <v>2629</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32655</v>
      </c>
      <c r="C3225" s="2" t="s">
        <v>569</v>
      </c>
      <c r="D3225" s="2" t="str">
        <f t="shared" si="49"/>
        <v>Error?</v>
      </c>
    </row>
    <row r="3226" spans="1:4" x14ac:dyDescent="0.2">
      <c r="A3226" s="5">
        <v>3165</v>
      </c>
      <c r="B3226" s="1890">
        <f>'Acct Summary 7-8'!I8</f>
        <v>32655</v>
      </c>
      <c r="C3226" s="2" t="s">
        <v>569</v>
      </c>
      <c r="D3226" s="2" t="str">
        <f t="shared" si="49"/>
        <v>Error?</v>
      </c>
    </row>
    <row r="3227" spans="1:4" x14ac:dyDescent="0.2">
      <c r="A3227" s="5">
        <v>3166</v>
      </c>
      <c r="B3227" s="1890">
        <f>'Acct Summary 7-8'!I20</f>
        <v>32655</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526252</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46404</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78677</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17659</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-3575</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32655</v>
      </c>
      <c r="C3320" s="2" t="s">
        <v>569</v>
      </c>
      <c r="D3320" s="2" t="str">
        <f t="shared" si="50"/>
        <v>Error?</v>
      </c>
    </row>
    <row r="3321" spans="1:4" x14ac:dyDescent="0.2">
      <c r="A3321" s="5">
        <v>3260</v>
      </c>
      <c r="B3321" s="1890">
        <f>'Acct Summary 7-8'!I79</f>
        <v>100287</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132942</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329408</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98602</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25599</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5182</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458791</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21137</v>
      </c>
      <c r="D3387" s="2" t="str">
        <f t="shared" si="51"/>
        <v>Error?</v>
      </c>
    </row>
    <row r="3388" spans="1:4" x14ac:dyDescent="0.2">
      <c r="A3388" s="5">
        <v>3327</v>
      </c>
      <c r="B3388" s="1890">
        <f>'Expenditures 15-22'!D217</f>
        <v>19808</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21137</v>
      </c>
      <c r="C3390" s="2" t="s">
        <v>569</v>
      </c>
      <c r="D3390" s="2" t="str">
        <f t="shared" si="51"/>
        <v>Error?</v>
      </c>
    </row>
    <row r="3391" spans="1:4" x14ac:dyDescent="0.2">
      <c r="A3391" s="5">
        <v>3330</v>
      </c>
      <c r="B3391" s="1890">
        <f>'Expenditures 15-22'!K217</f>
        <v>19808</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2319828</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99577</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10329</v>
      </c>
      <c r="D3417" s="2" t="str">
        <f t="shared" si="52"/>
        <v>Error?</v>
      </c>
    </row>
    <row r="3418" spans="1:4" x14ac:dyDescent="0.2">
      <c r="A3418" s="10">
        <v>3357</v>
      </c>
      <c r="B3418" s="1890"/>
      <c r="D3418" s="2" t="str">
        <f t="shared" si="52"/>
        <v>OK</v>
      </c>
    </row>
    <row r="3419" spans="1:4" x14ac:dyDescent="0.2">
      <c r="A3419" s="5">
        <v>3358</v>
      </c>
      <c r="B3419" s="1890">
        <f>'Assets-Liab 5-6'!F4</f>
        <v>206684</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161487</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60695</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46547</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74355</v>
      </c>
      <c r="C3446" s="2" t="s">
        <v>569</v>
      </c>
      <c r="D3446" s="2" t="str">
        <f t="shared" si="52"/>
        <v>Error?</v>
      </c>
    </row>
    <row r="3447" spans="1:4" x14ac:dyDescent="0.2">
      <c r="A3447" s="5">
        <v>3386</v>
      </c>
      <c r="B3447" s="1890">
        <f>'Tax Sched 23'!D16</f>
        <v>72955</v>
      </c>
      <c r="C3447" s="2" t="s">
        <v>569</v>
      </c>
      <c r="D3447" s="2" t="str">
        <f t="shared" si="52"/>
        <v>Error?</v>
      </c>
    </row>
    <row r="3448" spans="1:4" x14ac:dyDescent="0.2">
      <c r="A3448" s="5">
        <v>3387</v>
      </c>
      <c r="B3448" s="1890">
        <f>'Tax Sched 23'!C16</f>
        <v>1400</v>
      </c>
      <c r="D3448" s="2" t="str">
        <f t="shared" si="52"/>
        <v>Error?</v>
      </c>
    </row>
    <row r="3449" spans="1:4" x14ac:dyDescent="0.2">
      <c r="A3449" s="5">
        <v>3388</v>
      </c>
      <c r="B3449" s="1890">
        <f>'Tax Sched 23'!F16</f>
        <v>58144</v>
      </c>
      <c r="C3449" s="2" t="s">
        <v>569</v>
      </c>
      <c r="D3449" s="2" t="str">
        <f t="shared" si="52"/>
        <v>Error?</v>
      </c>
    </row>
    <row r="3450" spans="1:4" x14ac:dyDescent="0.2">
      <c r="A3450" s="5">
        <v>3389</v>
      </c>
      <c r="B3450" s="1890">
        <f>'Tax Sched 23'!E16</f>
        <v>59544</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85059</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27414</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112473</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112473</v>
      </c>
      <c r="D3567" s="2" t="str">
        <f t="shared" si="54"/>
        <v>Error?</v>
      </c>
    </row>
    <row r="3568" spans="1:4" x14ac:dyDescent="0.2">
      <c r="A3568" s="5">
        <v>3507</v>
      </c>
      <c r="B3568" s="1890">
        <f>'Assets-Liab 5-6'!K41</f>
        <v>112473</v>
      </c>
      <c r="C3568" s="2" t="s">
        <v>569</v>
      </c>
      <c r="D3568" s="2" t="str">
        <f t="shared" si="54"/>
        <v>Error?</v>
      </c>
    </row>
    <row r="3569" spans="1:4" x14ac:dyDescent="0.2">
      <c r="A3569" s="5">
        <v>3508</v>
      </c>
      <c r="B3569" s="1890">
        <f>'Acct Summary 7-8'!K4</f>
        <v>31847</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31847</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31847</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31847</v>
      </c>
      <c r="C3588" s="2" t="s">
        <v>569</v>
      </c>
      <c r="D3588" s="2" t="str">
        <f t="shared" si="55"/>
        <v>Error?</v>
      </c>
    </row>
    <row r="3589" spans="1:4" x14ac:dyDescent="0.2">
      <c r="A3589" s="5">
        <v>3528</v>
      </c>
      <c r="B3589" s="1890">
        <f>'Acct Summary 7-8'!K79</f>
        <v>80626</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112473</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31847</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30772</v>
      </c>
      <c r="C3725" s="2" t="s">
        <v>569</v>
      </c>
      <c r="D3725" s="2" t="str">
        <f t="shared" si="57"/>
        <v>Error?</v>
      </c>
    </row>
    <row r="3726" spans="1:4" x14ac:dyDescent="0.2">
      <c r="A3726" s="5">
        <v>3665</v>
      </c>
      <c r="B3726" s="1890">
        <f>'Tax Sched 23'!D13</f>
        <v>30045</v>
      </c>
      <c r="C3726" s="2" t="s">
        <v>569</v>
      </c>
      <c r="D3726" s="2" t="str">
        <f t="shared" si="57"/>
        <v>Error?</v>
      </c>
    </row>
    <row r="3727" spans="1:4" x14ac:dyDescent="0.2">
      <c r="A3727" s="5">
        <v>3666</v>
      </c>
      <c r="B3727" s="1890">
        <f>'Tax Sched 23'!C13</f>
        <v>727</v>
      </c>
      <c r="D3727" s="2" t="str">
        <f t="shared" si="57"/>
        <v>Error?</v>
      </c>
    </row>
    <row r="3728" spans="1:4" x14ac:dyDescent="0.2">
      <c r="A3728" s="5">
        <v>3667</v>
      </c>
      <c r="B3728" s="1890">
        <f>'Tax Sched 23'!F13</f>
        <v>31949</v>
      </c>
      <c r="C3728" s="2" t="s">
        <v>569</v>
      </c>
      <c r="D3728" s="2" t="str">
        <f t="shared" si="57"/>
        <v>Error?</v>
      </c>
    </row>
    <row r="3729" spans="1:4" x14ac:dyDescent="0.2">
      <c r="A3729" s="5">
        <v>3668</v>
      </c>
      <c r="B3729" s="1890">
        <f>'Tax Sched 23'!E13</f>
        <v>32676</v>
      </c>
      <c r="D3729" s="2" t="str">
        <f t="shared" si="57"/>
        <v>Error?</v>
      </c>
    </row>
    <row r="3730" spans="1:4" x14ac:dyDescent="0.2">
      <c r="A3730" s="5">
        <v>3669</v>
      </c>
      <c r="B3730" s="1890">
        <f>'ICR Computation 30'!E10</f>
        <v>60442</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254080</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4974165</v>
      </c>
      <c r="C4122" s="2" t="s">
        <v>569</v>
      </c>
      <c r="D4122" s="2" t="str">
        <f t="shared" si="63"/>
        <v>Error?</v>
      </c>
    </row>
    <row r="4123" spans="1:4" x14ac:dyDescent="0.2">
      <c r="A4123" s="5">
        <v>4062</v>
      </c>
      <c r="B4123" s="1890">
        <f>'Acct Summary 7-8'!D10</f>
        <v>486278</v>
      </c>
      <c r="C4123" s="2" t="s">
        <v>569</v>
      </c>
      <c r="D4123" s="2" t="str">
        <f t="shared" si="63"/>
        <v>Error?</v>
      </c>
    </row>
    <row r="4124" spans="1:4" x14ac:dyDescent="0.2">
      <c r="A4124" s="5">
        <v>4063</v>
      </c>
      <c r="B4124" s="1890">
        <f>'Acct Summary 7-8'!E10</f>
        <v>437475</v>
      </c>
      <c r="C4124" s="2" t="s">
        <v>569</v>
      </c>
      <c r="D4124" s="2" t="str">
        <f t="shared" si="63"/>
        <v>Error?</v>
      </c>
    </row>
    <row r="4125" spans="1:4" x14ac:dyDescent="0.2">
      <c r="A4125" s="5">
        <v>4064</v>
      </c>
      <c r="B4125" s="1890">
        <f>'Acct Summary 7-8'!F10</f>
        <v>240334</v>
      </c>
      <c r="C4125" s="2" t="s">
        <v>569</v>
      </c>
      <c r="D4125" s="2" t="str">
        <f t="shared" si="63"/>
        <v>Error?</v>
      </c>
    </row>
    <row r="4126" spans="1:4" x14ac:dyDescent="0.2">
      <c r="A4126" s="5">
        <v>4065</v>
      </c>
      <c r="B4126" s="1890">
        <f>'Acct Summary 7-8'!G10</f>
        <v>133255</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32655</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31847</v>
      </c>
      <c r="C4130" s="2" t="s">
        <v>569</v>
      </c>
      <c r="D4130" s="2" t="str">
        <f t="shared" si="63"/>
        <v>Error?</v>
      </c>
    </row>
    <row r="4131" spans="1:4" x14ac:dyDescent="0.2">
      <c r="A4131" s="5">
        <v>4070</v>
      </c>
      <c r="B4131" s="1890">
        <f>'Acct Summary 7-8'!C18</f>
        <v>254080</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4447913</v>
      </c>
      <c r="C4136" s="2" t="s">
        <v>569</v>
      </c>
      <c r="D4136" s="2" t="str">
        <f t="shared" si="63"/>
        <v>Error?</v>
      </c>
    </row>
    <row r="4137" spans="1:4" x14ac:dyDescent="0.2">
      <c r="A4137" s="5">
        <v>4076</v>
      </c>
      <c r="B4137" s="1890">
        <f>'Acct Summary 7-8'!D19</f>
        <v>439874</v>
      </c>
      <c r="C4137" s="2" t="s">
        <v>569</v>
      </c>
      <c r="D4137" s="2" t="str">
        <f t="shared" si="63"/>
        <v>Error?</v>
      </c>
    </row>
    <row r="4138" spans="1:4" x14ac:dyDescent="0.2">
      <c r="A4138" s="5">
        <v>4077</v>
      </c>
      <c r="B4138" s="1890">
        <f>'Acct Summary 7-8'!E19</f>
        <v>441050</v>
      </c>
      <c r="C4138" s="2" t="s">
        <v>569</v>
      </c>
      <c r="D4138" s="2" t="str">
        <f t="shared" si="63"/>
        <v>Error?</v>
      </c>
    </row>
    <row r="4139" spans="1:4" x14ac:dyDescent="0.2">
      <c r="A4139" s="5">
        <v>4078</v>
      </c>
      <c r="B4139" s="1890">
        <f>'Acct Summary 7-8'!F19</f>
        <v>161657</v>
      </c>
      <c r="C4139" s="2" t="s">
        <v>569</v>
      </c>
      <c r="D4139" s="2" t="str">
        <f t="shared" si="63"/>
        <v>Error?</v>
      </c>
    </row>
    <row r="4140" spans="1:4" x14ac:dyDescent="0.2">
      <c r="A4140" s="5">
        <v>4079</v>
      </c>
      <c r="B4140" s="1890">
        <f>'Acct Summary 7-8'!G19</f>
        <v>115596</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2835000</v>
      </c>
      <c r="C4171" s="2" t="s">
        <v>569</v>
      </c>
      <c r="D4171" s="2" t="str">
        <f t="shared" si="64"/>
        <v>Error?</v>
      </c>
    </row>
    <row r="4172" spans="1:4" x14ac:dyDescent="0.2">
      <c r="A4172" s="5">
        <v>4111</v>
      </c>
      <c r="B4172" s="1890">
        <f>'Short-Term Long-Term Debt 24'!J49</f>
        <v>2824671</v>
      </c>
      <c r="C4172" s="2" t="s">
        <v>569</v>
      </c>
      <c r="D4172" s="2" t="str">
        <f t="shared" si="64"/>
        <v>Error?</v>
      </c>
    </row>
    <row r="4173" spans="1:4" x14ac:dyDescent="0.2">
      <c r="A4173" s="5">
        <v>4112</v>
      </c>
      <c r="B4173" s="1890">
        <f>'Short-Term Long-Term Debt 24'!H49</f>
        <v>365000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3672.7000000000003</v>
      </c>
      <c r="C4265" s="2" t="s">
        <v>569</v>
      </c>
      <c r="D4265" s="2" t="str">
        <f t="shared" si="65"/>
        <v>Error?</v>
      </c>
      <c r="E4265" s="125"/>
    </row>
    <row r="4266" spans="1:5" x14ac:dyDescent="0.2">
      <c r="A4266" s="12">
        <v>4205</v>
      </c>
      <c r="B4266" s="1890">
        <f>('FP Info 3'!F10)*100000</f>
        <v>705</v>
      </c>
      <c r="C4266" s="2" t="s">
        <v>569</v>
      </c>
      <c r="D4266" s="2" t="str">
        <f t="shared" si="65"/>
        <v>Error?</v>
      </c>
      <c r="E4266" s="125"/>
    </row>
    <row r="4267" spans="1:5" x14ac:dyDescent="0.2">
      <c r="A4267" s="12">
        <v>4206</v>
      </c>
      <c r="B4267" s="1890">
        <f>('FP Info 3'!H10)*100000</f>
        <v>170.7</v>
      </c>
      <c r="C4267" s="2" t="s">
        <v>569</v>
      </c>
      <c r="D4267" s="2" t="str">
        <f t="shared" si="65"/>
        <v>Error?</v>
      </c>
      <c r="E4267" s="125"/>
    </row>
    <row r="4268" spans="1:5" x14ac:dyDescent="0.2">
      <c r="A4268" s="12">
        <v>4207</v>
      </c>
      <c r="B4268" s="1890">
        <f>('FP Info 3'!J10)*100000</f>
        <v>4548</v>
      </c>
      <c r="C4268" s="2" t="s">
        <v>569</v>
      </c>
      <c r="D4268" s="2" t="str">
        <f t="shared" si="65"/>
        <v>Error?</v>
      </c>
    </row>
    <row r="4269" spans="1:5" x14ac:dyDescent="0.2">
      <c r="A4269" s="12">
        <v>4208</v>
      </c>
      <c r="B4269" s="1890">
        <f>'FP Info 3'!J16</f>
        <v>5417598</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21775</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26682</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26682</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18552</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500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11610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65350826</v>
      </c>
      <c r="D4995" s="2" t="str">
        <f t="shared" si="77"/>
        <v>Error?</v>
      </c>
    </row>
    <row r="4996" spans="1:4" x14ac:dyDescent="0.2">
      <c r="A4996" s="12">
        <v>4935</v>
      </c>
      <c r="B4996" s="1890">
        <f>'FP Info 3'!H31</f>
        <v>9018413.9879999999</v>
      </c>
      <c r="D4996" s="2" t="str">
        <f t="shared" si="77"/>
        <v>Error?</v>
      </c>
    </row>
    <row r="4997" spans="1:4" x14ac:dyDescent="0.2">
      <c r="A4997" s="12">
        <v>4936</v>
      </c>
      <c r="B4997" s="1890">
        <f>'FP Info 3'!H37</f>
        <v>2835000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30772</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2245088</v>
      </c>
      <c r="D5061" s="2" t="str">
        <f t="shared" si="78"/>
        <v>Error?</v>
      </c>
    </row>
    <row r="5062" spans="1:4" x14ac:dyDescent="0.2">
      <c r="A5062" s="10">
        <v>5001</v>
      </c>
      <c r="B5062" s="1890"/>
      <c r="D5062" s="2" t="str">
        <f t="shared" si="78"/>
        <v>OK</v>
      </c>
    </row>
    <row r="5063" spans="1:4" x14ac:dyDescent="0.2">
      <c r="A5063" s="5">
        <v>5002</v>
      </c>
      <c r="B5063" s="1890">
        <f>'Revenues 9-14'!C7</f>
        <v>24618</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2300478</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163882</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163882</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99523</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99523</v>
      </c>
      <c r="C5087" s="2" t="s">
        <v>569</v>
      </c>
      <c r="D5087" s="2" t="str">
        <f t="shared" si="78"/>
        <v>Error?</v>
      </c>
    </row>
    <row r="5088" spans="1:4" x14ac:dyDescent="0.2">
      <c r="A5088" s="5">
        <v>5027</v>
      </c>
      <c r="B5088" s="1890">
        <f>'Revenues 9-14'!C65</f>
        <v>62934</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62934</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44553</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6994</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51547</v>
      </c>
      <c r="C5096" s="2" t="s">
        <v>569</v>
      </c>
      <c r="D5096" s="2" t="str">
        <f t="shared" si="78"/>
        <v>Error?</v>
      </c>
    </row>
    <row r="5097" spans="1:4" x14ac:dyDescent="0.2">
      <c r="A5097" s="5">
        <v>5036</v>
      </c>
      <c r="B5097" s="1890">
        <f>'Revenues 9-14'!C77</f>
        <v>21070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21070</v>
      </c>
      <c r="C5102" s="2" t="s">
        <v>569</v>
      </c>
      <c r="D5102" s="2" t="str">
        <f t="shared" si="78"/>
        <v>Error?</v>
      </c>
    </row>
    <row r="5103" spans="1:4" x14ac:dyDescent="0.2">
      <c r="A5103" s="5">
        <v>5042</v>
      </c>
      <c r="B5103" s="1890">
        <f>'Revenues 9-14'!C84</f>
        <v>42405</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42405</v>
      </c>
      <c r="C5112" s="2" t="s">
        <v>569</v>
      </c>
      <c r="D5112" s="2" t="str">
        <f t="shared" si="78"/>
        <v>Error?</v>
      </c>
    </row>
    <row r="5113" spans="1:4" x14ac:dyDescent="0.2">
      <c r="A5113" s="5">
        <v>5052</v>
      </c>
      <c r="B5113" s="1890">
        <f>'Revenues 9-14'!C95</f>
        <v>30059</v>
      </c>
      <c r="D5113" s="2" t="str">
        <f t="shared" si="78"/>
        <v>Error?</v>
      </c>
    </row>
    <row r="5114" spans="1:4" x14ac:dyDescent="0.2">
      <c r="A5114" s="5">
        <v>5053</v>
      </c>
      <c r="B5114" s="1890">
        <f>'Revenues 9-14'!C96</f>
        <v>750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261</v>
      </c>
      <c r="D5118" s="2" t="str">
        <f t="shared" si="78"/>
        <v>Error?</v>
      </c>
    </row>
    <row r="5119" spans="1:4" x14ac:dyDescent="0.2">
      <c r="A5119" s="5">
        <v>5058</v>
      </c>
      <c r="B5119" s="1890">
        <f>'Revenues 9-14'!C107</f>
        <v>3040</v>
      </c>
      <c r="D5119" s="2" t="str">
        <f t="shared" ref="D5119:D5182" si="79">IF(ISBLANK(B5119),"OK",IF(A5119-B5119=0,"OK","Error?"))</f>
        <v>Error?</v>
      </c>
    </row>
    <row r="5120" spans="1:4" x14ac:dyDescent="0.2">
      <c r="A5120" s="5">
        <v>5059</v>
      </c>
      <c r="B5120" s="1890">
        <f>'Revenues 9-14'!C108</f>
        <v>34610</v>
      </c>
      <c r="C5120" s="2" t="s">
        <v>569</v>
      </c>
      <c r="D5120" s="2" t="str">
        <f t="shared" si="79"/>
        <v>Error?</v>
      </c>
    </row>
    <row r="5121" spans="1:4" x14ac:dyDescent="0.2">
      <c r="A5121" s="5">
        <v>5060</v>
      </c>
      <c r="B5121" s="1890">
        <f>'Revenues 9-14'!C109</f>
        <v>2776449</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1381721</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1381721</v>
      </c>
      <c r="C5132" s="2" t="s">
        <v>569</v>
      </c>
      <c r="D5132" s="2" t="str">
        <f t="shared" si="79"/>
        <v>Error?</v>
      </c>
    </row>
    <row r="5133" spans="1:4" x14ac:dyDescent="0.2">
      <c r="A5133" s="5">
        <v>5072</v>
      </c>
      <c r="B5133" s="1890">
        <f>'Revenues 9-14'!C125</f>
        <v>11628</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11628</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4410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10904</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1143</v>
      </c>
      <c r="D5167" s="2" t="str">
        <f t="shared" si="79"/>
        <v>Error?</v>
      </c>
    </row>
    <row r="5168" spans="1:4" x14ac:dyDescent="0.2">
      <c r="A5168" s="5">
        <v>5107</v>
      </c>
      <c r="B5168" s="1890">
        <f>'Revenues 9-14'!C148</f>
        <v>2770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26146</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52591</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1434312</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57954</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15379</v>
      </c>
      <c r="D5241" s="2" t="str">
        <f t="shared" si="80"/>
        <v>Error?</v>
      </c>
    </row>
    <row r="5242" spans="1:4" x14ac:dyDescent="0.2">
      <c r="A5242" s="5">
        <v>5181</v>
      </c>
      <c r="B5242" s="1890">
        <f>'Revenues 9-14'!C194</f>
        <v>23421</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96754</v>
      </c>
      <c r="C5246" s="2" t="s">
        <v>569</v>
      </c>
      <c r="D5246" s="2" t="str">
        <f t="shared" si="80"/>
        <v>Error?</v>
      </c>
    </row>
    <row r="5247" spans="1:4" x14ac:dyDescent="0.2">
      <c r="A5247" s="5">
        <v>5186</v>
      </c>
      <c r="B5247" s="1890">
        <f>'Revenues 9-14'!C200</f>
        <v>112161</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112161</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1542</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220248</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221790</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509324</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509324</v>
      </c>
      <c r="C5326" s="2" t="s">
        <v>569</v>
      </c>
      <c r="D5326" s="2" t="str">
        <f t="shared" si="82"/>
        <v>Error?</v>
      </c>
    </row>
    <row r="5327" spans="1:5" x14ac:dyDescent="0.2">
      <c r="A5327" s="5">
        <v>5266</v>
      </c>
      <c r="B5327" s="1890">
        <f>'Revenues 9-14'!C268</f>
        <v>4720085</v>
      </c>
      <c r="C5327" s="2" t="s">
        <v>569</v>
      </c>
      <c r="D5327" s="2" t="str">
        <f t="shared" si="82"/>
        <v>Error?</v>
      </c>
    </row>
    <row r="5328" spans="1:5" x14ac:dyDescent="0.2">
      <c r="A5328" s="5">
        <v>5267</v>
      </c>
      <c r="B5328" s="1890">
        <f>'Revenues 9-14'!D5</f>
        <v>405402</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405402</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11601</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11601</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5742</v>
      </c>
      <c r="D5354" s="2" t="str">
        <f t="shared" si="82"/>
        <v>Error?</v>
      </c>
    </row>
    <row r="5355" spans="1:4" x14ac:dyDescent="0.2">
      <c r="A5355" s="5">
        <v>5294</v>
      </c>
      <c r="B5355" s="1890">
        <f>'Revenues 9-14'!D108</f>
        <v>19275</v>
      </c>
      <c r="C5355" s="2" t="s">
        <v>569</v>
      </c>
      <c r="D5355" s="2" t="str">
        <f t="shared" si="82"/>
        <v>Error?</v>
      </c>
    </row>
    <row r="5356" spans="1:4" x14ac:dyDescent="0.2">
      <c r="A5356" s="5">
        <v>5295</v>
      </c>
      <c r="B5356" s="1890">
        <f>'Revenues 9-14'!D109</f>
        <v>436278</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486278</v>
      </c>
      <c r="C5508" s="2" t="s">
        <v>569</v>
      </c>
      <c r="D5508" s="2" t="str">
        <f t="shared" si="85"/>
        <v>Error?</v>
      </c>
    </row>
    <row r="5509" spans="1:4" x14ac:dyDescent="0.2">
      <c r="A5509" s="5">
        <v>5448</v>
      </c>
      <c r="B5509" s="1890">
        <f>'Revenues 9-14'!E5</f>
        <v>436654</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436654</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821</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821</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437475</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437475</v>
      </c>
      <c r="C5552" s="2" t="s">
        <v>569</v>
      </c>
      <c r="D5552" s="2" t="str">
        <f t="shared" si="85"/>
        <v>Error?</v>
      </c>
    </row>
    <row r="5553" spans="1:4" x14ac:dyDescent="0.2">
      <c r="A5553" s="5">
        <v>5492</v>
      </c>
      <c r="B5553" s="1890">
        <f>'Revenues 9-14'!F5</f>
        <v>122810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122810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10375</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10375</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1607</v>
      </c>
      <c r="D5586" s="2" t="str">
        <f t="shared" si="86"/>
        <v>Error?</v>
      </c>
    </row>
    <row r="5587" spans="1:4" x14ac:dyDescent="0.2">
      <c r="A5587" s="5">
        <v>5526</v>
      </c>
      <c r="B5587" s="1890">
        <f>'Revenues 9-14'!F108</f>
        <v>1607</v>
      </c>
      <c r="C5587" s="2" t="s">
        <v>569</v>
      </c>
      <c r="D5587" s="2" t="str">
        <f t="shared" si="86"/>
        <v>Error?</v>
      </c>
    </row>
    <row r="5588" spans="1:4" x14ac:dyDescent="0.2">
      <c r="A5588" s="5">
        <v>5527</v>
      </c>
      <c r="B5588" s="1890">
        <f>'Revenues 9-14'!F109</f>
        <v>134792</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44929</v>
      </c>
      <c r="D5615" s="2" t="str">
        <f t="shared" si="86"/>
        <v>Error?</v>
      </c>
    </row>
    <row r="5616" spans="1:4" x14ac:dyDescent="0.2">
      <c r="A5616" s="10">
        <v>5555</v>
      </c>
      <c r="B5616" s="1890"/>
      <c r="D5616" s="2" t="str">
        <f t="shared" si="86"/>
        <v>OK</v>
      </c>
    </row>
    <row r="5617" spans="1:5" x14ac:dyDescent="0.2">
      <c r="A5617" s="5">
        <v>5556</v>
      </c>
      <c r="B5617" s="1890">
        <f>'Revenues 9-14'!F153</f>
        <v>60613</v>
      </c>
      <c r="D5617" s="2" t="str">
        <f t="shared" si="86"/>
        <v>Error?</v>
      </c>
    </row>
    <row r="5618" spans="1:5" x14ac:dyDescent="0.2">
      <c r="A5618" s="5">
        <v>5557</v>
      </c>
      <c r="B5618" s="1890">
        <f>'Revenues 9-14'!F155</f>
        <v>105542</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105542</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105542</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240334</v>
      </c>
      <c r="C5720" s="2" t="s">
        <v>569</v>
      </c>
      <c r="D5720" s="2" t="str">
        <f t="shared" si="88"/>
        <v>Error?</v>
      </c>
    </row>
    <row r="5721" spans="1:4" x14ac:dyDescent="0.2">
      <c r="A5721" s="5">
        <v>5660</v>
      </c>
      <c r="B5721" s="1890">
        <f>'Revenues 9-14'!G5</f>
        <v>55962</v>
      </c>
      <c r="D5721" s="2" t="str">
        <f t="shared" si="88"/>
        <v>Error?</v>
      </c>
    </row>
    <row r="5722" spans="1:4" x14ac:dyDescent="0.2">
      <c r="A5722" s="5">
        <v>5661</v>
      </c>
      <c r="B5722" s="1890">
        <f>'Revenues 9-14'!G7</f>
        <v>0</v>
      </c>
      <c r="D5722" s="2" t="str">
        <f t="shared" si="88"/>
        <v>Error?</v>
      </c>
    </row>
    <row r="5723" spans="1:4" x14ac:dyDescent="0.2">
      <c r="A5723" s="5">
        <v>5662</v>
      </c>
      <c r="B5723" s="1890">
        <f>'Revenues 9-14'!G8</f>
        <v>74355</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130317</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2938</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2938</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133255</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30772</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30772</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1883</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1883</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32655</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30772</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30772</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1075</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1075</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31847</v>
      </c>
      <c r="C6023" s="2" t="s">
        <v>569</v>
      </c>
      <c r="D6023" s="2" t="str">
        <f t="shared" si="93"/>
        <v>Error?</v>
      </c>
    </row>
    <row r="6024" spans="1:5" x14ac:dyDescent="0.2">
      <c r="A6024" s="5">
        <v>5963</v>
      </c>
      <c r="B6024" s="1890">
        <f>'Revenues 9-14'!G109</f>
        <v>133255</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32655</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31847</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19180</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381.01</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200511</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200511</v>
      </c>
      <c r="D6215" s="2" t="str">
        <f t="shared" si="96"/>
        <v>Error?</v>
      </c>
      <c r="E6215" s="2" t="s">
        <v>189</v>
      </c>
    </row>
    <row r="6216" spans="1:5" x14ac:dyDescent="0.2">
      <c r="A6216">
        <v>6155</v>
      </c>
      <c r="B6216" s="1890">
        <f>'Assets-Liab 5-6'!J41</f>
        <v>200511</v>
      </c>
      <c r="D6216" s="2" t="str">
        <f t="shared" si="96"/>
        <v>Error?</v>
      </c>
      <c r="E6216" s="2" t="s">
        <v>189</v>
      </c>
    </row>
    <row r="6217" spans="1:5" x14ac:dyDescent="0.2">
      <c r="A6217">
        <v>6156</v>
      </c>
      <c r="B6217" s="1890">
        <f>'Assets-Liab 5-6'!J4</f>
        <v>89202</v>
      </c>
      <c r="D6217" s="2" t="str">
        <f t="shared" si="96"/>
        <v>Error?</v>
      </c>
      <c r="E6217" s="2" t="s">
        <v>189</v>
      </c>
    </row>
    <row r="6218" spans="1:5" x14ac:dyDescent="0.2">
      <c r="A6218">
        <v>6157</v>
      </c>
      <c r="B6218" s="1890">
        <f>'Assets-Liab 5-6'!J5</f>
        <v>111309</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206037</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206037</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206037</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150541</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150541</v>
      </c>
      <c r="D6229" s="2" t="str">
        <f t="shared" si="96"/>
        <v>Error?</v>
      </c>
      <c r="E6229" s="2" t="s">
        <v>189</v>
      </c>
    </row>
    <row r="6230" spans="1:5" x14ac:dyDescent="0.2">
      <c r="A6230">
        <v>6169</v>
      </c>
      <c r="B6230" s="1890">
        <f>'Acct Summary 7-8'!J20</f>
        <v>55496</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55496</v>
      </c>
      <c r="D6263" s="2" t="str">
        <f t="shared" si="96"/>
        <v>Error?</v>
      </c>
      <c r="E6263" s="2" t="s">
        <v>189</v>
      </c>
    </row>
    <row r="6264" spans="1:5" x14ac:dyDescent="0.2">
      <c r="A6264">
        <v>6203</v>
      </c>
      <c r="B6264" s="1890">
        <f>'Acct Summary 7-8'!J79</f>
        <v>145015</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200511</v>
      </c>
      <c r="D6266" s="2" t="str">
        <f t="shared" si="96"/>
        <v>Error?</v>
      </c>
      <c r="E6266" s="2" t="s">
        <v>189</v>
      </c>
    </row>
    <row r="6267" spans="1:5" x14ac:dyDescent="0.2">
      <c r="A6267">
        <v>6206</v>
      </c>
      <c r="B6267" s="1890">
        <f>'Acct Summary 7-8'!C82</f>
        <v>526252</v>
      </c>
      <c r="D6267" s="2" t="str">
        <f t="shared" si="96"/>
        <v>Error?</v>
      </c>
      <c r="E6267" s="2" t="s">
        <v>189</v>
      </c>
    </row>
    <row r="6268" spans="1:5" x14ac:dyDescent="0.2">
      <c r="A6268">
        <v>6207</v>
      </c>
      <c r="B6268" s="1890">
        <f>'Acct Summary 7-8'!D82</f>
        <v>46404</v>
      </c>
      <c r="D6268" s="2" t="str">
        <f t="shared" si="96"/>
        <v>Error?</v>
      </c>
      <c r="E6268" s="2" t="s">
        <v>189</v>
      </c>
    </row>
    <row r="6269" spans="1:5" x14ac:dyDescent="0.2">
      <c r="A6269">
        <v>6208</v>
      </c>
      <c r="B6269" s="1890">
        <f>'Acct Summary 7-8'!E82</f>
        <v>-3575</v>
      </c>
      <c r="D6269" s="2" t="str">
        <f t="shared" si="96"/>
        <v>Error?</v>
      </c>
      <c r="E6269" s="2" t="s">
        <v>189</v>
      </c>
    </row>
    <row r="6270" spans="1:5" x14ac:dyDescent="0.2">
      <c r="A6270">
        <v>6209</v>
      </c>
      <c r="B6270" s="1890">
        <f>'Acct Summary 7-8'!F82</f>
        <v>78677</v>
      </c>
      <c r="D6270" s="2" t="str">
        <f t="shared" si="96"/>
        <v>Error?</v>
      </c>
      <c r="E6270" s="2" t="s">
        <v>189</v>
      </c>
    </row>
    <row r="6271" spans="1:5" x14ac:dyDescent="0.2">
      <c r="A6271">
        <v>6210</v>
      </c>
      <c r="B6271" s="1890">
        <f>'Acct Summary 7-8'!G82</f>
        <v>17659</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32655</v>
      </c>
      <c r="D6273" s="2" t="str">
        <f t="shared" si="97"/>
        <v>Error?</v>
      </c>
      <c r="E6273" s="2" t="s">
        <v>189</v>
      </c>
    </row>
    <row r="6274" spans="1:5" x14ac:dyDescent="0.2">
      <c r="A6274">
        <v>6213</v>
      </c>
      <c r="B6274" s="1890">
        <f>'Acct Summary 7-8'!J82</f>
        <v>55496</v>
      </c>
      <c r="D6274" s="2" t="str">
        <f t="shared" si="97"/>
        <v>Error?</v>
      </c>
      <c r="E6274" s="2" t="s">
        <v>189</v>
      </c>
    </row>
    <row r="6275" spans="1:5" x14ac:dyDescent="0.2">
      <c r="A6275">
        <v>6214</v>
      </c>
      <c r="B6275" s="1890">
        <f>'Acct Summary 7-8'!K82</f>
        <v>31847</v>
      </c>
      <c r="D6275" s="2" t="str">
        <f t="shared" si="97"/>
        <v>Error?</v>
      </c>
      <c r="E6275" s="2" t="s">
        <v>189</v>
      </c>
    </row>
    <row r="6276" spans="1:5" x14ac:dyDescent="0.2">
      <c r="A6276">
        <v>6215</v>
      </c>
      <c r="B6276" s="1890">
        <f>'Acct Summary 7-8'!C83</f>
        <v>0.13513127648691345</v>
      </c>
      <c r="D6276" s="2" t="str">
        <f t="shared" si="97"/>
        <v>Error?</v>
      </c>
      <c r="E6276" s="2" t="s">
        <v>189</v>
      </c>
    </row>
    <row r="6277" spans="1:5" x14ac:dyDescent="0.2">
      <c r="A6277">
        <v>6216</v>
      </c>
      <c r="B6277" s="1890">
        <f>'Acct Summary 7-8'!D83</f>
        <v>6.2052448520297024E-2</v>
      </c>
      <c r="D6277" s="2" t="str">
        <f t="shared" si="97"/>
        <v>Error?</v>
      </c>
      <c r="E6277" s="2" t="s">
        <v>189</v>
      </c>
    </row>
    <row r="6278" spans="1:5" x14ac:dyDescent="0.2">
      <c r="A6278">
        <v>6217</v>
      </c>
      <c r="B6278" s="1890">
        <f>'Acct Summary 7-8'!E83</f>
        <v>-0.293201016976954</v>
      </c>
      <c r="D6278" s="2" t="str">
        <f t="shared" si="97"/>
        <v>Error?</v>
      </c>
      <c r="E6278" s="2" t="s">
        <v>189</v>
      </c>
    </row>
    <row r="6279" spans="1:5" x14ac:dyDescent="0.2">
      <c r="A6279">
        <v>6218</v>
      </c>
      <c r="B6279" s="1890">
        <f>'Acct Summary 7-8'!F83</f>
        <v>0.1224619081936491</v>
      </c>
      <c r="D6279" s="2" t="str">
        <f t="shared" si="97"/>
        <v>Error?</v>
      </c>
      <c r="E6279" s="2" t="s">
        <v>189</v>
      </c>
    </row>
    <row r="6280" spans="1:5" x14ac:dyDescent="0.2">
      <c r="A6280">
        <v>6219</v>
      </c>
      <c r="B6280" s="1890">
        <f>'Acct Summary 7-8'!G83</f>
        <v>7.0337487702191892E-2</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0.2456334341291691</v>
      </c>
      <c r="D6282" s="2" t="str">
        <f t="shared" si="97"/>
        <v>Error?</v>
      </c>
      <c r="E6282" s="2" t="s">
        <v>189</v>
      </c>
    </row>
    <row r="6283" spans="1:5" x14ac:dyDescent="0.2">
      <c r="A6283">
        <v>6222</v>
      </c>
      <c r="B6283" s="1890">
        <f>'Acct Summary 7-8'!J83</f>
        <v>0.27677284538005398</v>
      </c>
      <c r="D6283" s="2" t="str">
        <f t="shared" si="97"/>
        <v>Error?</v>
      </c>
      <c r="E6283" s="2" t="s">
        <v>189</v>
      </c>
    </row>
    <row r="6284" spans="1:5" x14ac:dyDescent="0.2">
      <c r="A6284">
        <v>6223</v>
      </c>
      <c r="B6284" s="1890">
        <f>'Acct Summary 7-8'!K83</f>
        <v>0.28315240102068939</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204550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204550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1487</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1487</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13533</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206037</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6494</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41822</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53752</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80182</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11467</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830</v>
      </c>
      <c r="D6981" s="2" t="str">
        <f t="shared" si="108"/>
        <v>Error?</v>
      </c>
    </row>
    <row r="6982" spans="1:4" x14ac:dyDescent="0.2">
      <c r="A6982">
        <v>6921</v>
      </c>
      <c r="B6982" s="1890">
        <f>'Expenditures 15-22'!K85</f>
        <v>830</v>
      </c>
      <c r="D6982" s="2" t="str">
        <f t="shared" si="108"/>
        <v>Error?</v>
      </c>
    </row>
    <row r="6983" spans="1:4" x14ac:dyDescent="0.2">
      <c r="A6983">
        <v>6922</v>
      </c>
      <c r="B6983" s="1890">
        <f>'Expenditures 15-22'!H86</f>
        <v>33129</v>
      </c>
      <c r="D6983" s="2" t="str">
        <f t="shared" si="108"/>
        <v>Error?</v>
      </c>
    </row>
    <row r="6984" spans="1:4" x14ac:dyDescent="0.2">
      <c r="A6984">
        <v>6923</v>
      </c>
      <c r="B6984" s="1890">
        <f>'Expenditures 15-22'!K86</f>
        <v>33129</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42753</v>
      </c>
      <c r="D6987" s="2" t="str">
        <f t="shared" si="108"/>
        <v>Error?</v>
      </c>
    </row>
    <row r="6988" spans="1:4" x14ac:dyDescent="0.2">
      <c r="A6988">
        <v>6927</v>
      </c>
      <c r="B6988" s="1890">
        <f>'Expenditures 15-22'!K88</f>
        <v>42753</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76712</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150541</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206037</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1010</v>
      </c>
      <c r="D7073" s="2" t="str">
        <f t="shared" si="109"/>
        <v>Error?</v>
      </c>
    </row>
    <row r="7074" spans="1:4" x14ac:dyDescent="0.2">
      <c r="A7074">
        <v>7013</v>
      </c>
      <c r="B7074" s="1890">
        <f>'Expenditures 15-22'!K216</f>
        <v>1010</v>
      </c>
      <c r="D7074" s="2" t="str">
        <f t="shared" si="109"/>
        <v>Error?</v>
      </c>
    </row>
    <row r="7075" spans="1:4" x14ac:dyDescent="0.2">
      <c r="A7075">
        <v>7014</v>
      </c>
      <c r="B7075" s="1890">
        <f>'Expenditures 15-22'!D218</f>
        <v>4785</v>
      </c>
      <c r="D7075" s="2" t="str">
        <f t="shared" si="109"/>
        <v>Error?</v>
      </c>
    </row>
    <row r="7076" spans="1:4" x14ac:dyDescent="0.2">
      <c r="A7076">
        <v>7015</v>
      </c>
      <c r="B7076" s="1890">
        <f>'Expenditures 15-22'!K218</f>
        <v>4785</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130</v>
      </c>
      <c r="D7079" s="2" t="str">
        <f t="shared" si="109"/>
        <v>Error?</v>
      </c>
    </row>
    <row r="7080" spans="1:4" x14ac:dyDescent="0.2">
      <c r="A7080">
        <v>7019</v>
      </c>
      <c r="B7080" s="1890">
        <f>'Expenditures 15-22'!K226</f>
        <v>130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983</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983</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59838</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59838</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2501</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2501</v>
      </c>
      <c r="D7171" s="2" t="str">
        <f t="shared" si="111"/>
        <v>Error?</v>
      </c>
    </row>
    <row r="7172" spans="1:4" x14ac:dyDescent="0.2">
      <c r="A7172">
        <v>7111</v>
      </c>
      <c r="B7172" s="1890">
        <f>'Expenditures 15-22'!C325</f>
        <v>47733</v>
      </c>
      <c r="D7172" s="2" t="str">
        <f t="shared" si="111"/>
        <v>Error?</v>
      </c>
    </row>
    <row r="7173" spans="1:4" x14ac:dyDescent="0.2">
      <c r="A7173">
        <v>7112</v>
      </c>
      <c r="B7173" s="1890">
        <f>'Expenditures 15-22'!D325</f>
        <v>12852</v>
      </c>
      <c r="D7173" s="2" t="str">
        <f t="shared" si="111"/>
        <v>Error?</v>
      </c>
    </row>
    <row r="7174" spans="1:4" x14ac:dyDescent="0.2">
      <c r="A7174">
        <v>7113</v>
      </c>
      <c r="B7174" s="1890">
        <f>'Expenditures 15-22'!E325</f>
        <v>3830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9176</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73591</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13628</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13628</v>
      </c>
      <c r="D7198" s="2" t="str">
        <f t="shared" si="111"/>
        <v>Error?</v>
      </c>
    </row>
    <row r="7199" spans="1:4" x14ac:dyDescent="0.2">
      <c r="A7199">
        <v>7138</v>
      </c>
      <c r="B7199" s="1890">
        <f>'Expenditures 15-22'!C330</f>
        <v>47733</v>
      </c>
      <c r="D7199" s="2" t="str">
        <f t="shared" si="111"/>
        <v>Error?</v>
      </c>
    </row>
    <row r="7200" spans="1:4" x14ac:dyDescent="0.2">
      <c r="A7200">
        <v>7139</v>
      </c>
      <c r="B7200" s="1890">
        <f>'Expenditures 15-22'!D330</f>
        <v>89802</v>
      </c>
      <c r="D7200" s="2" t="str">
        <f t="shared" si="111"/>
        <v>Error?</v>
      </c>
    </row>
    <row r="7201" spans="1:4" x14ac:dyDescent="0.2">
      <c r="A7201">
        <v>7140</v>
      </c>
      <c r="B7201" s="1890">
        <f>'Expenditures 15-22'!E330</f>
        <v>3830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9176</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150541</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47733</v>
      </c>
      <c r="D7216" s="2" t="str">
        <f t="shared" si="111"/>
        <v>Error?</v>
      </c>
    </row>
    <row r="7217" spans="1:4" x14ac:dyDescent="0.2">
      <c r="A7217">
        <v>7156</v>
      </c>
      <c r="B7217" s="1890">
        <f>'Expenditures 15-22'!D342</f>
        <v>89802</v>
      </c>
      <c r="D7217" s="2" t="str">
        <f t="shared" si="111"/>
        <v>Error?</v>
      </c>
    </row>
    <row r="7218" spans="1:4" x14ac:dyDescent="0.2">
      <c r="A7218">
        <v>7157</v>
      </c>
      <c r="B7218" s="1890">
        <f>'Expenditures 15-22'!E342</f>
        <v>3830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9176</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150541</v>
      </c>
      <c r="D7224" s="2" t="str">
        <f t="shared" si="111"/>
        <v>Error?</v>
      </c>
    </row>
    <row r="7225" spans="1:4" x14ac:dyDescent="0.2">
      <c r="A7225">
        <v>7164</v>
      </c>
      <c r="B7225" s="1890">
        <f>'Expenditures 15-22'!K343</f>
        <v>55496</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11158</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772</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67954</v>
      </c>
      <c r="D7251" s="2" t="str">
        <f t="shared" si="112"/>
        <v>Error?</v>
      </c>
    </row>
    <row r="7252" spans="1:4" x14ac:dyDescent="0.2">
      <c r="A7252">
        <f t="shared" si="113"/>
        <v>7191</v>
      </c>
      <c r="B7252" s="1890">
        <f>'Expenditures 15-22'!D9</f>
        <v>11984</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229</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15</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8993</v>
      </c>
      <c r="D7263" s="2" t="str">
        <f t="shared" si="112"/>
        <v>Error?</v>
      </c>
    </row>
    <row r="7264" spans="1:4" x14ac:dyDescent="0.2">
      <c r="A7264">
        <f t="shared" si="113"/>
        <v>7203</v>
      </c>
      <c r="B7264" s="1890">
        <f>'Expenditures 15-22'!D17</f>
        <v>2474</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275298</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2770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2770</v>
      </c>
      <c r="D7719" s="2" t="str">
        <f t="shared" si="126"/>
        <v>Error?</v>
      </c>
      <c r="E7719" s="2" t="s">
        <v>822</v>
      </c>
    </row>
    <row r="7720" spans="1:6" x14ac:dyDescent="0.2">
      <c r="A7720">
        <v>7659</v>
      </c>
      <c r="B7720" s="1890">
        <f>'Rest Tax Levies-Tort Im 25'!H14</f>
        <v>24618</v>
      </c>
      <c r="D7720" s="2" t="str">
        <f t="shared" si="126"/>
        <v>Error?</v>
      </c>
      <c r="E7720" s="2" t="s">
        <v>822</v>
      </c>
    </row>
    <row r="7721" spans="1:6" x14ac:dyDescent="0.2">
      <c r="A7721">
        <v>7660</v>
      </c>
      <c r="B7721" s="1890">
        <f>'Rest Tax Levies-Tort Im 25'!K14</f>
        <v>2770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2770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3900000</v>
      </c>
      <c r="D7817" s="2" t="str">
        <f t="shared" si="128"/>
        <v>Error?</v>
      </c>
      <c r="E7817" s="4" t="s">
        <v>1969</v>
      </c>
    </row>
    <row r="7818" spans="1:5" x14ac:dyDescent="0.2">
      <c r="A7818">
        <v>7757</v>
      </c>
      <c r="B7818" s="1890">
        <f>'PCTC-OEPP 27-28'!F172</f>
        <v>0</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-54487</v>
      </c>
      <c r="D7820" s="2" t="str">
        <f t="shared" si="128"/>
        <v>Error?</v>
      </c>
    </row>
    <row r="7821" spans="1:5" x14ac:dyDescent="0.2">
      <c r="A7821">
        <v>7760</v>
      </c>
      <c r="B7821" s="1890">
        <f>'ICR Computation 30'!G40</f>
        <v>-54487</v>
      </c>
      <c r="D7821" s="2" t="str">
        <f t="shared" si="128"/>
        <v>Error?</v>
      </c>
    </row>
    <row r="7822" spans="1:5" x14ac:dyDescent="0.2">
      <c r="A7822" s="1">
        <v>7761</v>
      </c>
      <c r="B7822" s="1890">
        <f>'PCTC-OEPP 27-28'!F14</f>
        <v>5502551</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53752</v>
      </c>
      <c r="D7826" s="2" t="str">
        <f t="shared" si="129"/>
        <v>Error?</v>
      </c>
      <c r="E7826" s="4" t="s">
        <v>2001</v>
      </c>
    </row>
    <row r="7827" spans="1:5" x14ac:dyDescent="0.2">
      <c r="A7827">
        <v>7766</v>
      </c>
      <c r="B7827" s="1890">
        <f>'PCTC-OEPP 27-28'!F35</f>
        <v>80182</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32442</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771230</v>
      </c>
      <c r="D7834" s="2" t="str">
        <f t="shared" si="129"/>
        <v>Error?</v>
      </c>
      <c r="E7834" s="4" t="s">
        <v>2001</v>
      </c>
    </row>
    <row r="7835" spans="1:5" x14ac:dyDescent="0.2">
      <c r="A7835">
        <v>7774</v>
      </c>
      <c r="B7835" s="1890">
        <f>'PCTC-OEPP 27-28'!F78</f>
        <v>4731321</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12417.839426786699</v>
      </c>
      <c r="D7837" s="2" t="str">
        <f t="shared" si="129"/>
        <v>Error?</v>
      </c>
      <c r="E7837" s="4" t="s">
        <v>2001</v>
      </c>
    </row>
    <row r="7838" spans="1:5" x14ac:dyDescent="0.2">
      <c r="A7838">
        <v>7777</v>
      </c>
      <c r="B7838" s="1890">
        <f>'PCTC-OEPP 27-28'!F96</f>
        <v>21070</v>
      </c>
      <c r="D7838" s="2" t="str">
        <f t="shared" si="129"/>
        <v>Error?</v>
      </c>
      <c r="E7838" s="4" t="s">
        <v>2001</v>
      </c>
    </row>
    <row r="7839" spans="1:5" x14ac:dyDescent="0.2">
      <c r="A7839">
        <v>7778</v>
      </c>
      <c r="B7839" s="1890">
        <f>'PCTC-OEPP 27-28'!F102</f>
        <v>30059</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500</v>
      </c>
      <c r="D7841" s="2" t="str">
        <f t="shared" si="129"/>
        <v>Error?</v>
      </c>
      <c r="E7841" s="4" t="s">
        <v>2001</v>
      </c>
    </row>
    <row r="7842" spans="1:5" x14ac:dyDescent="0.2">
      <c r="A7842">
        <v>7781</v>
      </c>
      <c r="B7842" s="1890">
        <f>'PCTC-OEPP 27-28'!F106</f>
        <v>11628</v>
      </c>
      <c r="D7842" s="2" t="str">
        <f t="shared" si="129"/>
        <v>Error?</v>
      </c>
      <c r="E7842" s="4" t="s">
        <v>2001</v>
      </c>
    </row>
    <row r="7843" spans="1:5" x14ac:dyDescent="0.2">
      <c r="A7843">
        <v>7782</v>
      </c>
      <c r="B7843" s="1890">
        <f>'PCTC-OEPP 27-28'!F107</f>
        <v>10904</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2770</v>
      </c>
      <c r="D7846" s="2" t="str">
        <f t="shared" si="129"/>
        <v>Error?</v>
      </c>
      <c r="E7846" s="4" t="s">
        <v>2001</v>
      </c>
    </row>
    <row r="7847" spans="1:5" x14ac:dyDescent="0.2">
      <c r="A7847">
        <v>7786</v>
      </c>
      <c r="B7847" s="1890">
        <f>'PCTC-OEPP 27-28'!F112</f>
        <v>105542</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26682</v>
      </c>
      <c r="D7857" s="2" t="str">
        <f t="shared" si="129"/>
        <v>Error?</v>
      </c>
      <c r="E7857" s="4" t="s">
        <v>2001</v>
      </c>
    </row>
    <row r="7858" spans="1:5" x14ac:dyDescent="0.2">
      <c r="A7858">
        <v>7797</v>
      </c>
      <c r="B7858" s="1890">
        <f>'PCTC-OEPP 27-28'!F126</f>
        <v>96754</v>
      </c>
      <c r="D7858" s="2" t="str">
        <f t="shared" si="129"/>
        <v>Error?</v>
      </c>
      <c r="E7858" s="4" t="s">
        <v>2001</v>
      </c>
    </row>
    <row r="7859" spans="1:5" x14ac:dyDescent="0.2">
      <c r="A7859">
        <v>7798</v>
      </c>
      <c r="B7859" s="1890">
        <f>'PCTC-OEPP 27-28'!F127</f>
        <v>112161</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220248</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18552</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21775</v>
      </c>
      <c r="D7875" s="2" t="str">
        <f t="shared" si="129"/>
        <v>Error?</v>
      </c>
      <c r="E7875" s="4" t="s">
        <v>2001</v>
      </c>
    </row>
    <row r="7876" spans="1:5" x14ac:dyDescent="0.2">
      <c r="A7876">
        <v>7815</v>
      </c>
      <c r="B7876" s="1890">
        <f>'PCTC-OEPP 27-28'!F171</f>
        <v>11610</v>
      </c>
      <c r="D7876" s="2" t="str">
        <f t="shared" si="129"/>
        <v>Error?</v>
      </c>
      <c r="E7876" s="4" t="s">
        <v>2001</v>
      </c>
    </row>
    <row r="7877" spans="1:5" x14ac:dyDescent="0.2">
      <c r="A7877">
        <v>7816</v>
      </c>
      <c r="B7877" s="1890">
        <f>'PCTC-OEPP 27-28'!F175</f>
        <v>835611</v>
      </c>
      <c r="D7877" s="2" t="str">
        <f t="shared" si="129"/>
        <v>Error?</v>
      </c>
      <c r="E7877" s="4" t="s">
        <v>2001</v>
      </c>
    </row>
    <row r="7878" spans="1:5" x14ac:dyDescent="0.2">
      <c r="A7878">
        <v>7817</v>
      </c>
      <c r="B7878" s="1890">
        <f>'PCTC-OEPP 27-28'!F176</f>
        <v>3895710</v>
      </c>
      <c r="D7878" s="2" t="str">
        <f t="shared" si="129"/>
        <v>Error?</v>
      </c>
      <c r="E7878" s="4" t="s">
        <v>2001</v>
      </c>
    </row>
    <row r="7879" spans="1:5" x14ac:dyDescent="0.2">
      <c r="A7879">
        <v>7818</v>
      </c>
      <c r="B7879" s="1890">
        <f>'PCTC-OEPP 27-28'!F178</f>
        <v>4171008</v>
      </c>
      <c r="D7879" s="2" t="str">
        <f t="shared" si="129"/>
        <v>Error?</v>
      </c>
      <c r="E7879" s="4" t="s">
        <v>2001</v>
      </c>
    </row>
    <row r="7880" spans="1:5" x14ac:dyDescent="0.2">
      <c r="A7880">
        <v>7819</v>
      </c>
      <c r="B7880" s="1890">
        <f>'PCTC-OEPP 27-28'!F180</f>
        <v>10947.240229915225</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9176</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11" t="s">
        <v>1183</v>
      </c>
      <c r="B2" s="2611"/>
      <c r="C2" s="2611"/>
      <c r="D2" s="2611"/>
      <c r="E2" s="2611"/>
      <c r="F2" s="2611"/>
      <c r="G2" s="2611"/>
      <c r="H2" s="2611"/>
      <c r="I2" s="2611"/>
      <c r="J2" s="2611"/>
      <c r="K2" s="2611"/>
      <c r="L2" s="2611"/>
    </row>
    <row r="3" spans="1:29" ht="13.5" customHeight="1" x14ac:dyDescent="0.2">
      <c r="A3" s="2643" t="s">
        <v>1182</v>
      </c>
      <c r="B3" s="2643"/>
      <c r="C3" s="2643"/>
      <c r="D3" s="2643"/>
      <c r="E3" s="2643"/>
      <c r="F3" s="2643"/>
      <c r="G3" s="2643"/>
      <c r="H3" s="2643"/>
      <c r="I3" s="2643"/>
      <c r="J3" s="2643"/>
      <c r="K3" s="2643"/>
      <c r="L3" s="2643"/>
    </row>
    <row r="4" spans="1:29" ht="13.5" customHeight="1" x14ac:dyDescent="0.2">
      <c r="A4" s="2632" t="str">
        <f>"Year Ending June 30, "&amp;'AFR20'!E2</f>
        <v>Year Ending June 30, 2020</v>
      </c>
      <c r="B4" s="2633"/>
      <c r="C4" s="2633"/>
      <c r="D4" s="2633"/>
      <c r="E4" s="2633"/>
      <c r="F4" s="2633"/>
      <c r="G4" s="2633"/>
      <c r="H4" s="2633"/>
      <c r="I4" s="2633"/>
      <c r="J4" s="2633"/>
      <c r="K4" s="2633"/>
      <c r="L4" s="2633"/>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34" t="str">
        <f>COVER!A17</f>
        <v>Earlville CUSD 9</v>
      </c>
      <c r="B7" s="2635"/>
      <c r="C7" s="2635"/>
      <c r="D7" s="2636"/>
      <c r="E7" s="2637">
        <f>COVER!A13</f>
        <v>35050009026</v>
      </c>
      <c r="F7" s="2638"/>
      <c r="G7" s="2644" t="str">
        <f>COVER!T23</f>
        <v>065-029342</v>
      </c>
      <c r="H7" s="2645"/>
      <c r="I7" s="2645"/>
      <c r="J7" s="2645"/>
      <c r="K7" s="2645"/>
      <c r="L7" s="2646"/>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47"/>
      <c r="B9" s="2648"/>
      <c r="C9" s="2648"/>
      <c r="D9" s="2648"/>
      <c r="E9" s="2648"/>
      <c r="F9" s="2649"/>
      <c r="G9" s="2617" t="str">
        <f>COVER!T13</f>
        <v>Mack &amp; Associates, P.C.</v>
      </c>
      <c r="H9" s="2650"/>
      <c r="I9" s="2650"/>
      <c r="J9" s="2650"/>
      <c r="K9" s="2650"/>
      <c r="L9" s="2651"/>
    </row>
    <row r="10" spans="1:29" ht="13.5" customHeight="1" x14ac:dyDescent="0.2">
      <c r="A10" s="2623" t="str">
        <f>COVER!A38</f>
        <v>Rich Faivre</v>
      </c>
      <c r="B10" s="2624"/>
      <c r="C10" s="2624"/>
      <c r="D10" s="2624"/>
      <c r="E10" s="2624"/>
      <c r="F10" s="2625"/>
      <c r="G10" s="2617" t="str">
        <f>COVER!T17</f>
        <v>116 E Washington St., Suite 1</v>
      </c>
      <c r="H10" s="2618"/>
      <c r="I10" s="2618"/>
      <c r="J10" s="2618"/>
      <c r="K10" s="2618"/>
      <c r="L10" s="2619"/>
    </row>
    <row r="11" spans="1:29" ht="13.5" customHeight="1" x14ac:dyDescent="0.2">
      <c r="A11" s="1008" t="s">
        <v>1505</v>
      </c>
      <c r="B11" s="1009"/>
      <c r="C11" s="1010"/>
      <c r="D11" s="1015"/>
      <c r="E11" s="1010"/>
      <c r="F11" s="1014"/>
      <c r="G11" s="2617" t="str">
        <f>COVER!T19</f>
        <v>Morris</v>
      </c>
      <c r="H11" s="2618"/>
      <c r="I11" s="2618"/>
      <c r="J11" s="2618"/>
      <c r="K11" s="2618"/>
      <c r="L11" s="2619"/>
    </row>
    <row r="12" spans="1:29" ht="13.5" customHeight="1" x14ac:dyDescent="0.2">
      <c r="A12" s="2626" t="s">
        <v>1504</v>
      </c>
      <c r="B12" s="2627"/>
      <c r="C12" s="2627"/>
      <c r="D12" s="2627"/>
      <c r="E12" s="2627"/>
      <c r="F12" s="2628"/>
      <c r="G12" s="2620"/>
      <c r="H12" s="2621"/>
      <c r="I12" s="2621"/>
      <c r="J12" s="2621"/>
      <c r="K12" s="2621"/>
      <c r="L12" s="2622"/>
    </row>
    <row r="13" spans="1:29" ht="13.5" customHeight="1" x14ac:dyDescent="0.2">
      <c r="A13" s="2617"/>
      <c r="B13" s="2618"/>
      <c r="C13" s="2618"/>
      <c r="D13" s="2618"/>
      <c r="E13" s="2618"/>
      <c r="F13" s="2619"/>
      <c r="G13" s="2612" t="s">
        <v>1506</v>
      </c>
      <c r="H13" s="2613"/>
      <c r="I13" s="2629" t="str">
        <f>COVER!T25</f>
        <v>tmack@mackcpas.com</v>
      </c>
      <c r="J13" s="2630"/>
      <c r="K13" s="2630"/>
      <c r="L13" s="2631"/>
    </row>
    <row r="14" spans="1:29" ht="13.5" customHeight="1" x14ac:dyDescent="0.2">
      <c r="A14" s="2617" t="str">
        <f>COVER!A19</f>
        <v>415 W Union Street</v>
      </c>
      <c r="B14" s="2618"/>
      <c r="C14" s="2618"/>
      <c r="D14" s="2618"/>
      <c r="E14" s="2618"/>
      <c r="F14" s="2619"/>
      <c r="G14" s="1019" t="s">
        <v>1177</v>
      </c>
      <c r="H14" s="1017"/>
      <c r="I14" s="1017"/>
      <c r="J14" s="1017"/>
      <c r="K14" s="1017"/>
      <c r="L14" s="1018"/>
    </row>
    <row r="15" spans="1:29" ht="13.5" customHeight="1" x14ac:dyDescent="0.2">
      <c r="A15" s="2617" t="str">
        <f>COVER!A21</f>
        <v>Earlville</v>
      </c>
      <c r="B15" s="2618"/>
      <c r="C15" s="2618"/>
      <c r="D15" s="2618"/>
      <c r="E15" s="2618"/>
      <c r="F15" s="2619"/>
      <c r="G15" s="2614" t="str">
        <f>COVER!T15</f>
        <v>Tawnya Mack, CPA</v>
      </c>
      <c r="H15" s="2615"/>
      <c r="I15" s="2615"/>
      <c r="J15" s="2615"/>
      <c r="K15" s="2615"/>
      <c r="L15" s="2616"/>
    </row>
    <row r="16" spans="1:29" ht="12.2" customHeight="1" x14ac:dyDescent="0.2">
      <c r="A16" s="2640">
        <f>COVER!A25</f>
        <v>60518</v>
      </c>
      <c r="B16" s="2641"/>
      <c r="C16" s="2641"/>
      <c r="D16" s="2641"/>
      <c r="E16" s="2641"/>
      <c r="F16" s="2642"/>
      <c r="G16" s="2652"/>
      <c r="H16" s="2653"/>
      <c r="I16" s="2653"/>
      <c r="J16" s="2653"/>
      <c r="K16" s="2653"/>
      <c r="L16" s="2654"/>
    </row>
    <row r="17" spans="1:13" ht="12.2" customHeight="1" x14ac:dyDescent="0.2">
      <c r="A17" s="2655"/>
      <c r="B17" s="2641"/>
      <c r="C17" s="2641"/>
      <c r="D17" s="2641"/>
      <c r="E17" s="2641"/>
      <c r="F17" s="2642"/>
      <c r="G17" s="1019" t="s">
        <v>1176</v>
      </c>
      <c r="H17" s="1017"/>
      <c r="I17" s="1017"/>
      <c r="J17" s="1017"/>
      <c r="K17" s="1021" t="s">
        <v>1175</v>
      </c>
      <c r="L17" s="1014"/>
      <c r="M17" s="1007"/>
    </row>
    <row r="18" spans="1:13" ht="12.2" customHeight="1" x14ac:dyDescent="0.2">
      <c r="A18" s="2623"/>
      <c r="B18" s="2624"/>
      <c r="C18" s="2624"/>
      <c r="D18" s="2624"/>
      <c r="E18" s="2624"/>
      <c r="F18" s="2625"/>
      <c r="G18" s="2634" t="str">
        <f>COVER!T21</f>
        <v>815-942-3306</v>
      </c>
      <c r="H18" s="2635"/>
      <c r="I18" s="2635"/>
      <c r="J18" s="2635"/>
      <c r="K18" s="2634" t="str">
        <f>COVER!X21</f>
        <v>815-942-9430</v>
      </c>
      <c r="L18" s="2639"/>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6" t="str">
        <f>'Single Audit Cover'!A7</f>
        <v>Earlville CUSD 9</v>
      </c>
      <c r="B1" s="2657"/>
      <c r="C1" s="2657"/>
      <c r="D1" s="2657"/>
    </row>
    <row r="2" spans="1:11" s="1036" customFormat="1" ht="12.75" x14ac:dyDescent="0.2">
      <c r="A2" s="2658">
        <f>'Single Audit Cover'!E7</f>
        <v>35050009026</v>
      </c>
      <c r="B2" s="2659"/>
      <c r="C2" s="2659"/>
      <c r="D2" s="2659"/>
    </row>
    <row r="3" spans="1:11" s="1036" customFormat="1" ht="12.75" x14ac:dyDescent="0.2">
      <c r="A3" s="2656" t="s">
        <v>1499</v>
      </c>
      <c r="B3" s="2657"/>
      <c r="C3" s="2657"/>
      <c r="D3" s="2657"/>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1" t="str">
        <f>'Single Audit Cover'!A7</f>
        <v>Earlville CUSD 9</v>
      </c>
      <c r="B1" s="2661"/>
      <c r="C1" s="2661"/>
      <c r="D1" s="2661"/>
      <c r="E1" s="2661"/>
    </row>
    <row r="2" spans="1:5" x14ac:dyDescent="0.2">
      <c r="A2" s="2662">
        <f>'Single Audit Cover'!E7</f>
        <v>35050009026</v>
      </c>
      <c r="B2" s="2662"/>
      <c r="C2" s="2662"/>
      <c r="D2" s="2662"/>
      <c r="E2" s="2662"/>
    </row>
    <row r="3" spans="1:5" ht="4.5" customHeight="1" x14ac:dyDescent="0.2"/>
    <row r="4" spans="1:5" x14ac:dyDescent="0.2">
      <c r="A4" s="2661" t="s">
        <v>1236</v>
      </c>
      <c r="B4" s="2661"/>
      <c r="C4" s="2661"/>
      <c r="D4" s="2661"/>
      <c r="E4" s="2661"/>
    </row>
    <row r="5" spans="1:5" x14ac:dyDescent="0.2">
      <c r="A5" s="2664" t="str">
        <f>'Single Audit Cover'!A4</f>
        <v>Year Ending June 30, 2020</v>
      </c>
      <c r="B5" s="2664"/>
      <c r="C5" s="2664"/>
      <c r="D5" s="2664"/>
      <c r="E5" s="2664"/>
    </row>
    <row r="6" spans="1:5" x14ac:dyDescent="0.2">
      <c r="A6" s="2661" t="s">
        <v>1235</v>
      </c>
      <c r="B6" s="2661"/>
      <c r="C6" s="2661"/>
      <c r="D6" s="2661"/>
      <c r="E6" s="2661"/>
    </row>
    <row r="8" spans="1:5" x14ac:dyDescent="0.2">
      <c r="A8" s="1081" t="s">
        <v>1234</v>
      </c>
    </row>
    <row r="10" spans="1:5" x14ac:dyDescent="0.2">
      <c r="A10" s="1082" t="s">
        <v>1233</v>
      </c>
      <c r="B10" s="1083" t="s">
        <v>1232</v>
      </c>
      <c r="C10" s="1083"/>
      <c r="D10" s="1084">
        <f>SUM('Acct Summary 7-8'!C7:K7)</f>
        <v>509324</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19180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-21775</v>
      </c>
    </row>
    <row r="19" spans="1:4" ht="13.5" thickBot="1" x14ac:dyDescent="0.25">
      <c r="A19" s="1086" t="s">
        <v>1226</v>
      </c>
      <c r="D19" s="1087">
        <f>SUM(D10:D17)</f>
        <v>506729</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3"/>
      <c r="B24" s="2663"/>
      <c r="D24" s="1089"/>
    </row>
    <row r="25" spans="1:4" x14ac:dyDescent="0.2">
      <c r="A25" s="2660"/>
      <c r="B25" s="2660"/>
      <c r="D25" s="1089"/>
    </row>
    <row r="26" spans="1:4" x14ac:dyDescent="0.2">
      <c r="A26" s="2660"/>
      <c r="B26" s="2660"/>
      <c r="D26" s="1089"/>
    </row>
    <row r="27" spans="1:4" x14ac:dyDescent="0.2">
      <c r="A27" s="2660"/>
      <c r="B27" s="2660"/>
      <c r="D27" s="1089"/>
    </row>
    <row r="28" spans="1:4" x14ac:dyDescent="0.2">
      <c r="A28" s="2660"/>
      <c r="B28" s="2660"/>
      <c r="D28" s="1089"/>
    </row>
    <row r="29" spans="1:4" x14ac:dyDescent="0.2">
      <c r="A29" s="2660"/>
      <c r="B29" s="2660"/>
      <c r="D29" s="1089"/>
    </row>
    <row r="30" spans="1:4" x14ac:dyDescent="0.2">
      <c r="A30" s="2660"/>
      <c r="B30" s="2660"/>
      <c r="D30" s="1089"/>
    </row>
    <row r="32" spans="1:4" x14ac:dyDescent="0.2">
      <c r="A32" s="1081" t="s">
        <v>1224</v>
      </c>
      <c r="D32" s="1084">
        <f>SUM(D19:D30)</f>
        <v>506729</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60"/>
      <c r="B40" s="2660"/>
      <c r="D40" s="1089"/>
    </row>
    <row r="41" spans="1:4" x14ac:dyDescent="0.2">
      <c r="A41" s="2660"/>
      <c r="B41" s="2660"/>
      <c r="D41" s="1092"/>
    </row>
    <row r="42" spans="1:4" x14ac:dyDescent="0.2">
      <c r="A42" s="2660"/>
      <c r="B42" s="2660"/>
      <c r="D42" s="1092"/>
    </row>
    <row r="43" spans="1:4" x14ac:dyDescent="0.2">
      <c r="A43" s="2660"/>
      <c r="B43" s="2660"/>
      <c r="D43" s="1092"/>
    </row>
    <row r="44" spans="1:4" x14ac:dyDescent="0.2">
      <c r="A44" s="2660"/>
      <c r="B44" s="2660"/>
      <c r="D44" s="1092"/>
    </row>
    <row r="45" spans="1:4" x14ac:dyDescent="0.2">
      <c r="A45" s="2660"/>
      <c r="B45" s="2660"/>
      <c r="D45" s="1092"/>
    </row>
    <row r="47" spans="1:4" x14ac:dyDescent="0.2">
      <c r="B47" s="1093" t="s">
        <v>1218</v>
      </c>
      <c r="C47" s="1093"/>
      <c r="D47" s="1094">
        <f>SUM(D35:D45)</f>
        <v>0</v>
      </c>
    </row>
    <row r="49" spans="2:4" x14ac:dyDescent="0.2">
      <c r="B49" s="1093" t="s">
        <v>1217</v>
      </c>
      <c r="C49" s="1093"/>
      <c r="D49" s="1094">
        <f>D32-D47</f>
        <v>506729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3" t="str">
        <f>'Single Audit Cover'!A7</f>
        <v>Earlville CUSD 9</v>
      </c>
      <c r="C1" s="2665"/>
      <c r="D1" s="2665"/>
      <c r="E1" s="2665"/>
      <c r="F1" s="2665"/>
      <c r="G1" s="2665"/>
      <c r="H1" s="2665"/>
      <c r="I1" s="2665"/>
      <c r="J1" s="2665"/>
      <c r="K1" s="2665"/>
      <c r="L1" s="2665"/>
      <c r="M1" s="2665"/>
    </row>
    <row r="2" spans="2:14" ht="15" x14ac:dyDescent="0.2">
      <c r="B2" s="2666">
        <f>'Single Audit Cover'!E7</f>
        <v>35050009026</v>
      </c>
      <c r="C2" s="2666"/>
      <c r="D2" s="2666"/>
      <c r="E2" s="2666"/>
      <c r="F2" s="2666"/>
      <c r="G2" s="2666"/>
      <c r="H2" s="2666"/>
      <c r="I2" s="2666"/>
      <c r="J2" s="2666"/>
      <c r="K2" s="2666"/>
      <c r="L2" s="2666"/>
      <c r="M2" s="2666"/>
      <c r="N2" s="1123"/>
    </row>
    <row r="3" spans="2:14" ht="15" x14ac:dyDescent="0.2">
      <c r="B3" s="2667" t="s">
        <v>1210</v>
      </c>
      <c r="C3" s="2667"/>
      <c r="D3" s="2667"/>
      <c r="E3" s="2667"/>
      <c r="F3" s="2667"/>
      <c r="G3" s="2667"/>
      <c r="H3" s="2667"/>
      <c r="I3" s="2667"/>
      <c r="J3" s="2667"/>
      <c r="K3" s="2667"/>
      <c r="L3" s="2667"/>
      <c r="M3" s="2667"/>
      <c r="N3" s="1123"/>
    </row>
    <row r="4" spans="2:14" ht="15" x14ac:dyDescent="0.2">
      <c r="B4" s="2668" t="str">
        <f>'Single Audit Cover'!A4</f>
        <v>Year Ending June 30, 2020</v>
      </c>
      <c r="C4" s="2668"/>
      <c r="D4" s="2668"/>
      <c r="E4" s="2668"/>
      <c r="F4" s="2668"/>
      <c r="G4" s="2668"/>
      <c r="H4" s="2668"/>
      <c r="I4" s="2668"/>
      <c r="J4" s="2668"/>
      <c r="K4" s="2668"/>
      <c r="L4" s="2668"/>
      <c r="M4" s="2668"/>
      <c r="N4" s="1123"/>
    </row>
    <row r="5" spans="2:14" x14ac:dyDescent="0.2">
      <c r="H5" s="1982"/>
      <c r="J5" s="1982"/>
    </row>
    <row r="6" spans="2:14" x14ac:dyDescent="0.2">
      <c r="B6" s="1124"/>
      <c r="C6" s="1125"/>
      <c r="D6" s="1126" t="s">
        <v>1256</v>
      </c>
      <c r="E6" s="1127" t="s">
        <v>524</v>
      </c>
      <c r="F6" s="1128"/>
      <c r="G6" s="1129" t="s">
        <v>1714</v>
      </c>
      <c r="H6" s="1127"/>
      <c r="I6" s="1127"/>
      <c r="J6" s="1983"/>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1" t="str">
        <f>"7/1/"&amp;MID('AFR20'!$E$2,3,2)-2&amp;"-6/30/"&amp;MID('AFR20'!$E$2,3,2)-1</f>
        <v>7/1/18-6/30/19</v>
      </c>
      <c r="F9" s="1981" t="str">
        <f>"7/1/"&amp;MID('AFR20'!$E$2,3,2)-1&amp;"-6/30/"&amp;MID('AFR20'!$E$2,3,2)</f>
        <v>7/1/19-6/30/20</v>
      </c>
      <c r="G9" s="1981" t="str">
        <f>"7/1/"&amp;MID('AFR20'!$E$2,3,2)-2&amp;"-6/30/"&amp;MID('AFR20'!$E$2,3,2)-1</f>
        <v>7/1/18-6/30/19</v>
      </c>
      <c r="H9" s="1138" t="s">
        <v>1568</v>
      </c>
      <c r="I9" s="1981"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6" t="s">
        <v>1160</v>
      </c>
      <c r="B2" s="2226"/>
      <c r="C2" s="2226"/>
      <c r="D2" s="2226"/>
      <c r="E2" s="2226"/>
      <c r="F2" s="2226"/>
      <c r="G2" s="2226"/>
      <c r="H2" s="2226"/>
      <c r="I2" s="2226"/>
      <c r="J2" s="222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40" t="s">
        <v>1619</v>
      </c>
      <c r="B35" s="2241"/>
      <c r="C35" s="2241"/>
      <c r="D35" s="2241"/>
      <c r="E35" s="2242"/>
      <c r="F35" s="2242"/>
      <c r="G35" s="2242"/>
      <c r="H35" s="2242"/>
      <c r="I35" s="224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0" t="s">
        <v>310</v>
      </c>
      <c r="B47" s="2243"/>
      <c r="C47" s="2243"/>
      <c r="D47" s="2243"/>
      <c r="E47" s="2244"/>
      <c r="F47" s="2244"/>
      <c r="G47" s="2244"/>
      <c r="H47" s="2244"/>
      <c r="I47" s="224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7"/>
      <c r="C57" s="2248"/>
      <c r="D57" s="2248"/>
      <c r="E57" s="2248"/>
      <c r="F57" s="2248"/>
      <c r="G57" s="2248"/>
      <c r="H57" s="2248"/>
      <c r="I57" s="2248"/>
      <c r="J57" s="2249"/>
    </row>
    <row r="58" spans="1:10" s="176" customFormat="1" x14ac:dyDescent="0.2">
      <c r="A58" s="248"/>
      <c r="B58" s="2250"/>
      <c r="C58" s="2251"/>
      <c r="D58" s="2251"/>
      <c r="E58" s="2251"/>
      <c r="F58" s="2251"/>
      <c r="G58" s="2251"/>
      <c r="H58" s="2251"/>
      <c r="I58" s="2251"/>
      <c r="J58" s="2252"/>
    </row>
    <row r="59" spans="1:10" s="176" customFormat="1" x14ac:dyDescent="0.2">
      <c r="A59" s="248"/>
      <c r="B59" s="2250"/>
      <c r="C59" s="2251"/>
      <c r="D59" s="2251"/>
      <c r="E59" s="2251"/>
      <c r="F59" s="2251"/>
      <c r="G59" s="2251"/>
      <c r="H59" s="2251"/>
      <c r="I59" s="2251"/>
      <c r="J59" s="2252"/>
    </row>
    <row r="60" spans="1:10" s="176" customFormat="1" x14ac:dyDescent="0.2">
      <c r="A60" s="248"/>
      <c r="B60" s="2250"/>
      <c r="C60" s="2251"/>
      <c r="D60" s="2251"/>
      <c r="E60" s="2251"/>
      <c r="F60" s="2251"/>
      <c r="G60" s="2251"/>
      <c r="H60" s="2251"/>
      <c r="I60" s="2251"/>
      <c r="J60" s="2252"/>
    </row>
    <row r="61" spans="1:10" s="176" customFormat="1" x14ac:dyDescent="0.2">
      <c r="A61" s="248"/>
      <c r="B61" s="2250"/>
      <c r="C61" s="2251"/>
      <c r="D61" s="2251"/>
      <c r="E61" s="2251"/>
      <c r="F61" s="2251"/>
      <c r="G61" s="2251"/>
      <c r="H61" s="2251"/>
      <c r="I61" s="2251"/>
      <c r="J61" s="2252"/>
    </row>
    <row r="62" spans="1:10" s="176" customFormat="1" x14ac:dyDescent="0.2">
      <c r="A62" s="248"/>
      <c r="B62" s="2250"/>
      <c r="C62" s="2251"/>
      <c r="D62" s="2251"/>
      <c r="E62" s="2251"/>
      <c r="F62" s="2251"/>
      <c r="G62" s="2251"/>
      <c r="H62" s="2251"/>
      <c r="I62" s="2251"/>
      <c r="J62" s="2252"/>
    </row>
    <row r="63" spans="1:10" s="176" customFormat="1" x14ac:dyDescent="0.2">
      <c r="A63" s="248"/>
      <c r="B63" s="2250"/>
      <c r="C63" s="2251"/>
      <c r="D63" s="2251"/>
      <c r="E63" s="2251"/>
      <c r="F63" s="2251"/>
      <c r="G63" s="2251"/>
      <c r="H63" s="2251"/>
      <c r="I63" s="2251"/>
      <c r="J63" s="2252"/>
    </row>
    <row r="64" spans="1:10" s="176" customFormat="1" x14ac:dyDescent="0.2">
      <c r="A64" s="248"/>
      <c r="B64" s="2250"/>
      <c r="C64" s="2251"/>
      <c r="D64" s="2251"/>
      <c r="E64" s="2251"/>
      <c r="F64" s="2251"/>
      <c r="G64" s="2251"/>
      <c r="H64" s="2251"/>
      <c r="I64" s="2251"/>
      <c r="J64" s="2252"/>
    </row>
    <row r="65" spans="1:11" s="176" customFormat="1" x14ac:dyDescent="0.2">
      <c r="A65" s="248"/>
      <c r="B65" s="2250"/>
      <c r="C65" s="2251"/>
      <c r="D65" s="2251"/>
      <c r="E65" s="2251"/>
      <c r="F65" s="2251"/>
      <c r="G65" s="2251"/>
      <c r="H65" s="2251"/>
      <c r="I65" s="2251"/>
      <c r="J65" s="2252"/>
    </row>
    <row r="66" spans="1:11" s="176" customFormat="1" x14ac:dyDescent="0.2">
      <c r="A66" s="248"/>
      <c r="B66" s="2250"/>
      <c r="C66" s="2251"/>
      <c r="D66" s="2251"/>
      <c r="E66" s="2251"/>
      <c r="F66" s="2251"/>
      <c r="G66" s="2251"/>
      <c r="H66" s="2251"/>
      <c r="I66" s="2251"/>
      <c r="J66" s="2252"/>
    </row>
    <row r="67" spans="1:11" s="176" customFormat="1" ht="9" customHeight="1" x14ac:dyDescent="0.2">
      <c r="A67" s="249"/>
      <c r="B67" s="2253"/>
      <c r="C67" s="2254"/>
      <c r="D67" s="2254"/>
      <c r="E67" s="2254"/>
      <c r="F67" s="2254"/>
      <c r="G67" s="2254"/>
      <c r="H67" s="2254"/>
      <c r="I67" s="2254"/>
      <c r="J67" s="225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0" t="s">
        <v>1314</v>
      </c>
      <c r="B70" s="2243"/>
      <c r="C70" s="2243"/>
      <c r="D70" s="2243"/>
      <c r="E70" s="2244"/>
      <c r="F70" s="2244"/>
      <c r="G70" s="2244"/>
      <c r="H70" s="2244"/>
      <c r="I70" s="224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5" t="s">
        <v>1311</v>
      </c>
      <c r="B83" s="2245"/>
      <c r="C83" s="2245"/>
      <c r="D83" s="224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6" t="s">
        <v>1992</v>
      </c>
      <c r="B85" s="2256"/>
      <c r="C85" s="2256"/>
      <c r="D85" s="2257"/>
      <c r="E85" s="1594"/>
      <c r="F85" s="1594"/>
      <c r="G85" s="1594"/>
      <c r="H85" s="1594"/>
      <c r="I85" s="1966"/>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8" t="s">
        <v>1992</v>
      </c>
      <c r="B88" s="2259"/>
      <c r="C88" s="2259"/>
      <c r="D88" s="2260"/>
      <c r="E88" s="1594"/>
      <c r="F88" s="1594"/>
      <c r="G88" s="1594"/>
      <c r="H88" s="1594"/>
      <c r="I88" s="1966"/>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7"/>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7"/>
      <c r="C102" s="2228"/>
      <c r="D102" s="2228"/>
      <c r="E102" s="2228"/>
      <c r="F102" s="2228"/>
      <c r="G102" s="2228"/>
      <c r="H102" s="2228"/>
      <c r="I102" s="2229"/>
    </row>
    <row r="103" spans="1:9" s="176" customFormat="1" ht="11.25" customHeight="1" x14ac:dyDescent="0.2">
      <c r="A103" s="294"/>
      <c r="B103" s="2230"/>
      <c r="C103" s="2231"/>
      <c r="D103" s="2231"/>
      <c r="E103" s="2231"/>
      <c r="F103" s="2231"/>
      <c r="G103" s="2231"/>
      <c r="H103" s="2231"/>
      <c r="I103" s="2232"/>
    </row>
    <row r="104" spans="1:9" s="176" customFormat="1" ht="11.25" customHeight="1" x14ac:dyDescent="0.2">
      <c r="A104" s="294"/>
      <c r="B104" s="2230"/>
      <c r="C104" s="2231"/>
      <c r="D104" s="2231"/>
      <c r="E104" s="2231"/>
      <c r="F104" s="2231"/>
      <c r="G104" s="2231"/>
      <c r="H104" s="2231"/>
      <c r="I104" s="2232"/>
    </row>
    <row r="105" spans="1:9" s="176" customFormat="1" x14ac:dyDescent="0.2">
      <c r="A105" s="294"/>
      <c r="B105" s="2230"/>
      <c r="C105" s="2231"/>
      <c r="D105" s="2231"/>
      <c r="E105" s="2231"/>
      <c r="F105" s="2231"/>
      <c r="G105" s="2231"/>
      <c r="H105" s="2231"/>
      <c r="I105" s="2232"/>
    </row>
    <row r="106" spans="1:9" s="176" customFormat="1" ht="11.25" customHeight="1" x14ac:dyDescent="0.2">
      <c r="A106" s="294"/>
      <c r="B106" s="2230"/>
      <c r="C106" s="2231"/>
      <c r="D106" s="2231"/>
      <c r="E106" s="2231"/>
      <c r="F106" s="2231"/>
      <c r="G106" s="2231"/>
      <c r="H106" s="2231"/>
      <c r="I106" s="2232"/>
    </row>
    <row r="107" spans="1:9" s="176" customFormat="1" ht="11.25" customHeight="1" x14ac:dyDescent="0.2">
      <c r="A107" s="294"/>
      <c r="B107" s="2230"/>
      <c r="C107" s="2231"/>
      <c r="D107" s="2231"/>
      <c r="E107" s="2231"/>
      <c r="F107" s="2231"/>
      <c r="G107" s="2231"/>
      <c r="H107" s="2231"/>
      <c r="I107" s="2232"/>
    </row>
    <row r="108" spans="1:9" s="176" customFormat="1" ht="11.25" customHeight="1" x14ac:dyDescent="0.2">
      <c r="A108" s="294"/>
      <c r="B108" s="2230"/>
      <c r="C108" s="2231"/>
      <c r="D108" s="2231"/>
      <c r="E108" s="2231"/>
      <c r="F108" s="2231"/>
      <c r="G108" s="2231"/>
      <c r="H108" s="2231"/>
      <c r="I108" s="2232"/>
    </row>
    <row r="109" spans="1:9" s="176" customFormat="1" ht="11.25" customHeight="1" x14ac:dyDescent="0.2">
      <c r="A109" s="294"/>
      <c r="B109" s="2230"/>
      <c r="C109" s="2231"/>
      <c r="D109" s="2231"/>
      <c r="E109" s="2231"/>
      <c r="F109" s="2231"/>
      <c r="G109" s="2231"/>
      <c r="H109" s="2231"/>
      <c r="I109" s="2232"/>
    </row>
    <row r="110" spans="1:9" s="176" customFormat="1" ht="11.25" customHeight="1" x14ac:dyDescent="0.2">
      <c r="A110" s="294"/>
      <c r="B110" s="2230"/>
      <c r="C110" s="2231"/>
      <c r="D110" s="2231"/>
      <c r="E110" s="2231"/>
      <c r="F110" s="2231"/>
      <c r="G110" s="2231"/>
      <c r="H110" s="2231"/>
      <c r="I110" s="2232"/>
    </row>
    <row r="111" spans="1:9" s="176" customFormat="1" ht="11.25" customHeight="1" x14ac:dyDescent="0.2">
      <c r="A111" s="294"/>
      <c r="B111" s="2230"/>
      <c r="C111" s="2231"/>
      <c r="D111" s="2231"/>
      <c r="E111" s="2231"/>
      <c r="F111" s="2231"/>
      <c r="G111" s="2231"/>
      <c r="H111" s="2231"/>
      <c r="I111" s="2232"/>
    </row>
    <row r="112" spans="1:9" s="176" customFormat="1" ht="11.25" customHeight="1" x14ac:dyDescent="0.2">
      <c r="A112" s="294"/>
      <c r="B112" s="2233"/>
      <c r="C112" s="2234"/>
      <c r="D112" s="2234"/>
      <c r="E112" s="2234"/>
      <c r="F112" s="2234"/>
      <c r="G112" s="2234"/>
      <c r="H112" s="2234"/>
      <c r="I112" s="223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6" t="s">
        <v>2021</v>
      </c>
      <c r="D114" s="223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7" t="s">
        <v>1321</v>
      </c>
      <c r="D117" s="2238"/>
      <c r="E117" s="2239"/>
      <c r="F117" s="2239"/>
      <c r="G117" s="2239"/>
      <c r="H117" s="2239"/>
      <c r="I117" s="282"/>
    </row>
    <row r="118" spans="1:9" s="176" customFormat="1" ht="24" customHeight="1" x14ac:dyDescent="0.2">
      <c r="A118" s="294"/>
      <c r="B118" s="294"/>
      <c r="C118" s="294"/>
      <c r="D118" s="301" t="s">
        <v>2038</v>
      </c>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8" t="str">
        <f>'Single Audit Cover'!A7</f>
        <v>Earlville CUSD 9</v>
      </c>
      <c r="B1" s="2678"/>
      <c r="C1" s="2678"/>
      <c r="D1" s="2678"/>
      <c r="E1" s="2678"/>
      <c r="F1" s="2678"/>
    </row>
    <row r="2" spans="1:7" ht="13.5" customHeight="1" x14ac:dyDescent="0.2">
      <c r="A2" s="2666">
        <f>'Single Audit Cover'!E7</f>
        <v>35050009026</v>
      </c>
      <c r="B2" s="2666"/>
      <c r="C2" s="2666"/>
      <c r="D2" s="2666"/>
      <c r="E2" s="2666"/>
      <c r="F2" s="2666"/>
      <c r="G2" s="1096"/>
    </row>
    <row r="3" spans="1:7" ht="15.75" customHeight="1" x14ac:dyDescent="0.2">
      <c r="A3" s="2679" t="s">
        <v>1262</v>
      </c>
      <c r="B3" s="2679"/>
      <c r="C3" s="2679"/>
      <c r="D3" s="2679"/>
      <c r="E3" s="2679"/>
      <c r="F3" s="2679"/>
    </row>
    <row r="4" spans="1:7" ht="13.5" customHeight="1" x14ac:dyDescent="0.2">
      <c r="A4" s="2680" t="str">
        <f>'Single Audit Cover'!A4</f>
        <v>Year Ending June 30, 2020</v>
      </c>
      <c r="B4" s="2680"/>
      <c r="C4" s="2680"/>
      <c r="D4" s="2680"/>
      <c r="E4" s="2680"/>
      <c r="F4" s="2680"/>
    </row>
    <row r="5" spans="1:7" ht="8.25" customHeight="1" x14ac:dyDescent="0.2">
      <c r="C5" s="295"/>
      <c r="D5" s="295"/>
    </row>
    <row r="6" spans="1:7" ht="13.5" customHeight="1" x14ac:dyDescent="0.2">
      <c r="A6" s="1097" t="s">
        <v>1708</v>
      </c>
      <c r="C6" s="295"/>
      <c r="D6" s="295"/>
    </row>
    <row r="7" spans="1:7" ht="60.95" customHeight="1" x14ac:dyDescent="0.2">
      <c r="A7" s="2677" t="s">
        <v>1709</v>
      </c>
      <c r="B7" s="2677"/>
      <c r="C7" s="2677"/>
      <c r="D7" s="2677"/>
      <c r="E7" s="2677"/>
      <c r="F7" s="2677"/>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77" t="s">
        <v>1711</v>
      </c>
      <c r="B13" s="2677"/>
      <c r="C13" s="2677"/>
      <c r="D13" s="2677"/>
      <c r="E13" s="2677"/>
      <c r="F13" s="2677"/>
    </row>
    <row r="14" spans="1:7" ht="9.75" customHeight="1" x14ac:dyDescent="0.2">
      <c r="C14" s="1081"/>
      <c r="D14" s="1081"/>
    </row>
    <row r="15" spans="1:7" ht="13.5" customHeight="1" x14ac:dyDescent="0.2">
      <c r="C15" s="1525" t="s">
        <v>1261</v>
      </c>
      <c r="D15" s="2675" t="s">
        <v>1260</v>
      </c>
      <c r="E15" s="2675"/>
      <c r="F15" s="2675"/>
    </row>
    <row r="16" spans="1:7" ht="13.5" customHeight="1" x14ac:dyDescent="0.2">
      <c r="A16" s="1103"/>
      <c r="B16" s="1097" t="s">
        <v>1259</v>
      </c>
      <c r="C16" s="1525" t="s">
        <v>1258</v>
      </c>
      <c r="D16" s="2676" t="s">
        <v>1574</v>
      </c>
      <c r="E16" s="2676"/>
      <c r="F16" s="2676"/>
    </row>
    <row r="17" spans="1:6" ht="20.45" customHeight="1" x14ac:dyDescent="0.2">
      <c r="A17" s="1104"/>
      <c r="B17" s="1105"/>
      <c r="C17" s="1106"/>
      <c r="D17" s="2670"/>
      <c r="E17" s="2670"/>
      <c r="F17" s="2670"/>
    </row>
    <row r="18" spans="1:6" ht="20.65" customHeight="1" x14ac:dyDescent="0.2">
      <c r="A18" s="1104"/>
      <c r="B18" s="1105"/>
      <c r="C18" s="1106"/>
      <c r="D18" s="2670"/>
      <c r="E18" s="2670"/>
      <c r="F18" s="2670"/>
    </row>
    <row r="19" spans="1:6" ht="20.65" customHeight="1" x14ac:dyDescent="0.2">
      <c r="A19" s="1104"/>
      <c r="B19" s="1105"/>
      <c r="C19" s="1106"/>
      <c r="D19" s="2670"/>
      <c r="E19" s="2670"/>
      <c r="F19" s="2670"/>
    </row>
    <row r="20" spans="1:6" ht="20.65" customHeight="1" x14ac:dyDescent="0.2">
      <c r="A20" s="1104"/>
      <c r="B20" s="1105"/>
      <c r="C20" s="1106"/>
      <c r="D20" s="2670"/>
      <c r="E20" s="2670"/>
      <c r="F20" s="2670"/>
    </row>
    <row r="21" spans="1:6" ht="20.65" customHeight="1" x14ac:dyDescent="0.2">
      <c r="A21" s="1104"/>
      <c r="B21" s="1105"/>
      <c r="C21" s="1106"/>
      <c r="D21" s="2670"/>
      <c r="E21" s="2670"/>
      <c r="F21" s="2670"/>
    </row>
    <row r="22" spans="1:6" ht="20.65" customHeight="1" x14ac:dyDescent="0.2">
      <c r="A22" s="1104"/>
      <c r="B22" s="1105"/>
      <c r="C22" s="1106"/>
      <c r="D22" s="2670"/>
      <c r="E22" s="2670"/>
      <c r="F22" s="2670"/>
    </row>
    <row r="23" spans="1:6" ht="20.65" customHeight="1" x14ac:dyDescent="0.2">
      <c r="A23" s="1104"/>
      <c r="B23" s="1105"/>
      <c r="C23" s="1106"/>
      <c r="D23" s="2670"/>
      <c r="E23" s="2670"/>
      <c r="F23" s="2670"/>
    </row>
    <row r="24" spans="1:6" ht="20.65" customHeight="1" x14ac:dyDescent="0.2">
      <c r="A24" s="1104"/>
      <c r="B24" s="1105"/>
      <c r="C24" s="1106"/>
      <c r="D24" s="2670"/>
      <c r="E24" s="2670"/>
      <c r="F24" s="2670"/>
    </row>
    <row r="25" spans="1:6" ht="20.65" customHeight="1" x14ac:dyDescent="0.2">
      <c r="A25" s="1104"/>
      <c r="B25" s="1105"/>
      <c r="C25" s="1106"/>
      <c r="D25" s="2670"/>
      <c r="E25" s="2670"/>
      <c r="F25" s="2670"/>
    </row>
    <row r="26" spans="1:6" ht="20.65" customHeight="1" x14ac:dyDescent="0.2">
      <c r="A26" s="1104"/>
      <c r="B26" s="1105"/>
      <c r="C26" s="1106"/>
      <c r="D26" s="2670"/>
      <c r="E26" s="2670"/>
      <c r="F26" s="2670"/>
    </row>
    <row r="27" spans="1:6" ht="20.65" customHeight="1" x14ac:dyDescent="0.2">
      <c r="A27" s="1104"/>
      <c r="B27" s="1105"/>
      <c r="C27" s="1106"/>
      <c r="D27" s="2670"/>
      <c r="E27" s="2670"/>
      <c r="F27" s="2670"/>
    </row>
    <row r="28" spans="1:6" ht="20.65" customHeight="1" x14ac:dyDescent="0.2">
      <c r="A28" s="1104"/>
      <c r="B28" s="1105"/>
      <c r="C28" s="1106"/>
      <c r="D28" s="2670"/>
      <c r="E28" s="2670"/>
      <c r="F28" s="2670"/>
    </row>
    <row r="29" spans="1:6" ht="20.65" customHeight="1" x14ac:dyDescent="0.2">
      <c r="A29" s="1104"/>
      <c r="B29" s="1105"/>
      <c r="C29" s="1106"/>
      <c r="D29" s="2670"/>
      <c r="E29" s="2670"/>
      <c r="F29" s="2670"/>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1" t="s">
        <v>1712</v>
      </c>
      <c r="B32" s="2671"/>
      <c r="C32" s="2671"/>
      <c r="D32" s="2671"/>
      <c r="E32" s="2671"/>
      <c r="F32" s="2671"/>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672">
        <f>+C33+C34</f>
        <v>0</v>
      </c>
      <c r="F34" s="2673"/>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4" t="s">
        <v>1576</v>
      </c>
      <c r="C49" s="2674"/>
      <c r="D49" s="2674"/>
      <c r="E49" s="1213"/>
    </row>
    <row r="50" spans="1:5" s="1121" customFormat="1" ht="3.75" customHeight="1" x14ac:dyDescent="0.2">
      <c r="A50" s="1120"/>
      <c r="B50" s="1524"/>
      <c r="C50" s="1524"/>
      <c r="D50" s="1524"/>
      <c r="E50" s="1213"/>
    </row>
    <row r="51" spans="1:5" s="1121" customFormat="1" ht="20.25" customHeight="1" x14ac:dyDescent="0.2">
      <c r="A51" s="1122">
        <v>6</v>
      </c>
      <c r="B51" s="2669" t="s">
        <v>1537</v>
      </c>
      <c r="C51" s="2669"/>
      <c r="D51" s="2669"/>
    </row>
    <row r="52" spans="1:5" ht="14.25" customHeight="1" x14ac:dyDescent="0.2">
      <c r="A52" s="1122"/>
      <c r="B52" s="2669"/>
      <c r="C52" s="2669"/>
      <c r="D52" s="266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2" t="str">
        <f>'Single Audit Cover'!A7</f>
        <v>Earlville CUSD 9</v>
      </c>
      <c r="C1" s="2693"/>
      <c r="D1" s="2693"/>
      <c r="E1" s="2693"/>
      <c r="F1" s="2693"/>
      <c r="G1" s="2693"/>
      <c r="H1" s="2693"/>
      <c r="I1" s="2693"/>
      <c r="J1" s="1223"/>
    </row>
    <row r="2" spans="2:10" s="295" customFormat="1" ht="12.75" customHeight="1" x14ac:dyDescent="0.2">
      <c r="B2" s="2694">
        <f>'Single Audit Cover'!E7</f>
        <v>35050009026</v>
      </c>
      <c r="C2" s="2695"/>
      <c r="D2" s="2695"/>
      <c r="E2" s="2695"/>
      <c r="F2" s="2695"/>
      <c r="G2" s="2695"/>
      <c r="H2" s="2695"/>
      <c r="I2" s="2695"/>
      <c r="J2" s="1223"/>
    </row>
    <row r="3" spans="2:10" s="295" customFormat="1" ht="12.75" customHeight="1" x14ac:dyDescent="0.2">
      <c r="B3" s="2696" t="s">
        <v>1276</v>
      </c>
      <c r="C3" s="2697"/>
      <c r="D3" s="2697"/>
      <c r="E3" s="2697"/>
      <c r="F3" s="2697"/>
      <c r="G3" s="2697"/>
      <c r="H3" s="2697"/>
      <c r="I3" s="2697"/>
      <c r="J3" s="1224"/>
    </row>
    <row r="4" spans="2:10" s="295" customFormat="1" ht="12.75" customHeight="1" x14ac:dyDescent="0.2">
      <c r="B4" s="2696" t="str">
        <f>'Single Audit Cover'!A4</f>
        <v>Year Ending June 30, 2020</v>
      </c>
      <c r="C4" s="2697"/>
      <c r="D4" s="2697"/>
      <c r="E4" s="2697"/>
      <c r="F4" s="2697"/>
      <c r="G4" s="2697"/>
      <c r="H4" s="2697"/>
      <c r="I4" s="2697"/>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6" t="s">
        <v>1275</v>
      </c>
      <c r="C7" s="2697"/>
      <c r="D7" s="2697"/>
      <c r="E7" s="2697"/>
      <c r="F7" s="2697"/>
      <c r="G7" s="2697"/>
      <c r="H7" s="2697"/>
      <c r="I7" s="2697"/>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8"/>
      <c r="D11" s="2698"/>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9"/>
      <c r="E29" s="2699"/>
      <c r="F29" s="2699"/>
      <c r="G29" s="2699"/>
      <c r="H29" s="2699"/>
      <c r="I29" s="2699"/>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700" t="s">
        <v>1731</v>
      </c>
      <c r="D37" s="2701"/>
      <c r="E37" s="2701"/>
      <c r="F37" s="2702"/>
      <c r="G37" s="2700" t="s">
        <v>1578</v>
      </c>
      <c r="H37" s="2701"/>
      <c r="I37" s="2702"/>
    </row>
    <row r="38" spans="2:9" ht="16.5" customHeight="1" x14ac:dyDescent="0.2">
      <c r="B38" s="1245"/>
      <c r="C38" s="2688"/>
      <c r="D38" s="2689"/>
      <c r="E38" s="2689"/>
      <c r="F38" s="2690"/>
      <c r="G38" s="2703"/>
      <c r="H38" s="2704"/>
      <c r="I38" s="2705"/>
    </row>
    <row r="39" spans="2:9" ht="16.5" customHeight="1" x14ac:dyDescent="0.2">
      <c r="B39" s="1245"/>
      <c r="C39" s="2688"/>
      <c r="D39" s="2689"/>
      <c r="E39" s="2689"/>
      <c r="F39" s="2690"/>
      <c r="G39" s="2691"/>
      <c r="H39" s="2691"/>
      <c r="I39" s="2691"/>
    </row>
    <row r="40" spans="2:9" ht="16.5" customHeight="1" x14ac:dyDescent="0.2">
      <c r="B40" s="1245"/>
      <c r="C40" s="2688"/>
      <c r="D40" s="2689"/>
      <c r="E40" s="2689"/>
      <c r="F40" s="2690"/>
      <c r="G40" s="2691"/>
      <c r="H40" s="2691"/>
      <c r="I40" s="2691"/>
    </row>
    <row r="41" spans="2:9" ht="16.5" customHeight="1" x14ac:dyDescent="0.2">
      <c r="B41" s="1245"/>
      <c r="C41" s="2688"/>
      <c r="D41" s="2689"/>
      <c r="E41" s="2689"/>
      <c r="F41" s="2690"/>
      <c r="G41" s="2691"/>
      <c r="H41" s="2691"/>
      <c r="I41" s="2691"/>
    </row>
    <row r="42" spans="2:9" ht="16.5" customHeight="1" x14ac:dyDescent="0.2">
      <c r="B42" s="1245"/>
      <c r="C42" s="2688"/>
      <c r="D42" s="2689"/>
      <c r="E42" s="2689"/>
      <c r="F42" s="2690"/>
      <c r="G42" s="2691"/>
      <c r="H42" s="2691"/>
      <c r="I42" s="2691"/>
    </row>
    <row r="43" spans="2:9" ht="16.5" customHeight="1" x14ac:dyDescent="0.2">
      <c r="B43" s="1245"/>
      <c r="C43" s="2681" t="s">
        <v>1579</v>
      </c>
      <c r="D43" s="2682"/>
      <c r="E43" s="2682"/>
      <c r="F43" s="2683"/>
      <c r="G43" s="2684">
        <f>SUM(G38:I42)</f>
        <v>0</v>
      </c>
      <c r="H43" s="2684"/>
      <c r="I43" s="2684"/>
    </row>
    <row r="44" spans="2:9" ht="12.75" customHeight="1" x14ac:dyDescent="0.2"/>
    <row r="45" spans="2:9" ht="12.75" customHeight="1" x14ac:dyDescent="0.2">
      <c r="B45" s="1984" t="str">
        <f>"Total Federal Expenditures for 7/1/"&amp;MID('AFR20'!E2,3,2)-1&amp;"-6/30/"&amp;MID('AFR20'!E2,3,2)</f>
        <v>Total Federal Expenditures for 7/1/19-6/30/20</v>
      </c>
      <c r="C45" s="1985"/>
      <c r="D45" s="2685">
        <v>0</v>
      </c>
      <c r="E45" s="2686"/>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687"/>
      <c r="F49" s="2687"/>
      <c r="G49" s="2687"/>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2" t="str">
        <f>'Single Audit Cover'!A7</f>
        <v>Earlville CUSD 9</v>
      </c>
      <c r="C1" s="2692"/>
      <c r="D1" s="2692"/>
      <c r="E1" s="2692"/>
      <c r="F1" s="2692"/>
      <c r="G1" s="2692"/>
      <c r="H1" s="2692"/>
      <c r="I1" s="2692"/>
      <c r="J1" s="2692"/>
      <c r="K1" s="2692"/>
      <c r="L1" s="1189"/>
      <c r="M1" s="1189"/>
    </row>
    <row r="2" spans="1:13" ht="12" customHeight="1" x14ac:dyDescent="0.2">
      <c r="B2" s="2694">
        <f>'Single Audit Cover'!E7</f>
        <v>35050009026</v>
      </c>
      <c r="C2" s="2694"/>
      <c r="D2" s="2694"/>
      <c r="E2" s="2694"/>
      <c r="F2" s="2694"/>
      <c r="G2" s="2694"/>
      <c r="H2" s="2694"/>
      <c r="I2" s="2694"/>
      <c r="J2" s="2694"/>
      <c r="K2" s="2694"/>
      <c r="L2" s="1190"/>
      <c r="M2" s="1191"/>
    </row>
    <row r="3" spans="1:13" ht="10.35" customHeight="1" x14ac:dyDescent="0.2">
      <c r="B3" s="2708" t="s">
        <v>1276</v>
      </c>
      <c r="C3" s="2708"/>
      <c r="D3" s="2708"/>
      <c r="E3" s="2708"/>
      <c r="F3" s="2708"/>
      <c r="G3" s="2708"/>
      <c r="H3" s="2708"/>
      <c r="I3" s="2708"/>
      <c r="J3" s="2708"/>
      <c r="K3" s="2708"/>
      <c r="L3" s="1192"/>
      <c r="M3" s="1192"/>
    </row>
    <row r="4" spans="1:13" ht="14.25" customHeight="1" x14ac:dyDescent="0.2">
      <c r="B4" s="2709" t="str">
        <f>'Single Audit Cover'!A4</f>
        <v>Year Ending June 30, 2020</v>
      </c>
      <c r="C4" s="2709"/>
      <c r="D4" s="2709"/>
      <c r="E4" s="2709"/>
      <c r="F4" s="2709"/>
      <c r="G4" s="2709"/>
      <c r="H4" s="2709"/>
      <c r="I4" s="2709"/>
      <c r="J4" s="2709"/>
      <c r="K4" s="2709"/>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9" t="s">
        <v>1287</v>
      </c>
      <c r="C7" s="2709"/>
      <c r="D7" s="2710"/>
      <c r="E7" s="2710"/>
      <c r="F7" s="2710"/>
      <c r="G7" s="2710"/>
      <c r="H7" s="2710"/>
      <c r="I7" s="2710"/>
      <c r="J7" s="2710"/>
      <c r="K7" s="2710"/>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6"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7"/>
      <c r="C14" s="2707"/>
      <c r="D14" s="2707"/>
      <c r="E14" s="2707"/>
      <c r="F14" s="2707"/>
      <c r="G14" s="2707"/>
      <c r="H14" s="2707"/>
      <c r="I14" s="2707"/>
      <c r="J14" s="2707"/>
      <c r="K14" s="2707"/>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7"/>
      <c r="C17" s="2707"/>
      <c r="D17" s="2707"/>
      <c r="E17" s="2707"/>
      <c r="F17" s="2707"/>
      <c r="G17" s="2707"/>
      <c r="H17" s="2707"/>
      <c r="I17" s="2707"/>
      <c r="J17" s="2707"/>
      <c r="K17" s="2707"/>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11"/>
      <c r="C20" s="2711"/>
      <c r="D20" s="2707"/>
      <c r="E20" s="2707"/>
      <c r="F20" s="2707"/>
      <c r="G20" s="2707"/>
      <c r="H20" s="2707"/>
      <c r="I20" s="2707"/>
      <c r="J20" s="2707"/>
      <c r="K20" s="2707"/>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7"/>
      <c r="C23" s="2707"/>
      <c r="D23" s="2707"/>
      <c r="E23" s="2707"/>
      <c r="F23" s="2707"/>
      <c r="G23" s="2707"/>
      <c r="H23" s="2707"/>
      <c r="I23" s="2707"/>
      <c r="J23" s="2707"/>
      <c r="K23" s="2707"/>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7"/>
      <c r="C26" s="2707"/>
      <c r="D26" s="2707"/>
      <c r="E26" s="2707"/>
      <c r="F26" s="2707"/>
      <c r="G26" s="2707"/>
      <c r="H26" s="2707"/>
      <c r="I26" s="2707"/>
      <c r="J26" s="2707"/>
      <c r="K26" s="2707"/>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6"/>
      <c r="C29" s="2706"/>
      <c r="D29" s="2707"/>
      <c r="E29" s="2707"/>
      <c r="F29" s="2707"/>
      <c r="G29" s="2707"/>
      <c r="H29" s="2707"/>
      <c r="I29" s="2707"/>
      <c r="J29" s="2707"/>
      <c r="K29" s="2707"/>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6"/>
      <c r="C32" s="2706"/>
      <c r="D32" s="2707"/>
      <c r="E32" s="2707"/>
      <c r="F32" s="2707"/>
      <c r="G32" s="2707"/>
      <c r="H32" s="2707"/>
      <c r="I32" s="2707"/>
      <c r="J32" s="2707"/>
      <c r="K32" s="2707"/>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5" t="str">
        <f>'Single Audit Cover'!A7</f>
        <v>Earlville CUSD 9</v>
      </c>
      <c r="C1" s="2715"/>
      <c r="D1" s="2715"/>
      <c r="E1" s="2715"/>
      <c r="F1" s="2715"/>
      <c r="G1" s="2715"/>
      <c r="H1" s="2715"/>
      <c r="I1" s="2715"/>
      <c r="J1" s="2715"/>
      <c r="K1" s="2715"/>
      <c r="L1" s="1266"/>
    </row>
    <row r="2" spans="1:12" ht="12.75" customHeight="1" x14ac:dyDescent="0.2">
      <c r="B2" s="2716">
        <f>'Single Audit Cover'!E7</f>
        <v>35050009026</v>
      </c>
      <c r="C2" s="2716"/>
      <c r="D2" s="2716"/>
      <c r="E2" s="2716"/>
      <c r="F2" s="2716"/>
      <c r="G2" s="2716"/>
      <c r="H2" s="2716"/>
      <c r="I2" s="2716"/>
      <c r="J2" s="2716"/>
      <c r="K2" s="2716"/>
      <c r="L2" s="1267"/>
    </row>
    <row r="3" spans="1:12" ht="12.75" customHeight="1" x14ac:dyDescent="0.2">
      <c r="B3" s="2708" t="s">
        <v>1276</v>
      </c>
      <c r="C3" s="2708"/>
      <c r="D3" s="2708"/>
      <c r="E3" s="2708"/>
      <c r="F3" s="2708"/>
      <c r="G3" s="2708"/>
      <c r="H3" s="2708"/>
      <c r="I3" s="2708"/>
      <c r="J3" s="2708"/>
      <c r="K3" s="2708"/>
      <c r="L3" s="1192"/>
    </row>
    <row r="4" spans="1:12" ht="12.75" customHeight="1" x14ac:dyDescent="0.2">
      <c r="B4" s="2708" t="str">
        <f>'Single Audit Cover'!A4</f>
        <v>Year Ending June 30, 2020</v>
      </c>
      <c r="C4" s="2708"/>
      <c r="D4" s="2708"/>
      <c r="E4" s="2708"/>
      <c r="F4" s="2708"/>
      <c r="G4" s="2708"/>
      <c r="H4" s="2708"/>
      <c r="I4" s="2708"/>
      <c r="J4" s="2708"/>
      <c r="K4" s="2708"/>
      <c r="L4" s="1192"/>
    </row>
    <row r="5" spans="1:12" ht="5.25" customHeight="1" x14ac:dyDescent="0.2">
      <c r="B5" s="1081" t="s">
        <v>1161</v>
      </c>
      <c r="C5" s="1081"/>
      <c r="L5" s="300"/>
    </row>
    <row r="6" spans="1:12" ht="30.75" customHeight="1" x14ac:dyDescent="0.2">
      <c r="A6" s="300"/>
      <c r="B6" s="2717" t="s">
        <v>1299</v>
      </c>
      <c r="C6" s="2717"/>
      <c r="D6" s="2717"/>
      <c r="E6" s="2717"/>
      <c r="F6" s="2717"/>
      <c r="G6" s="2717"/>
      <c r="H6" s="2717"/>
      <c r="I6" s="2717"/>
      <c r="J6" s="2717"/>
      <c r="K6" s="2717"/>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6"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9"/>
      <c r="G12" s="2699"/>
      <c r="H12" s="2699"/>
      <c r="I12" s="2699"/>
      <c r="J12" s="2699"/>
      <c r="K12" s="2699"/>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2"/>
      <c r="E14" s="2712"/>
      <c r="F14" s="2712"/>
      <c r="H14" s="1275" t="s">
        <v>1294</v>
      </c>
      <c r="I14" s="2713"/>
      <c r="J14" s="2713"/>
      <c r="K14" s="2713"/>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3"/>
      <c r="E16" s="2713"/>
      <c r="F16" s="2713"/>
      <c r="G16" s="2713"/>
      <c r="H16" s="2713"/>
      <c r="I16" s="2713"/>
      <c r="J16" s="2713"/>
      <c r="K16" s="2713"/>
      <c r="L16" s="300"/>
    </row>
    <row r="17" spans="2:12" ht="13.5" customHeight="1" x14ac:dyDescent="0.2">
      <c r="B17" s="1201" t="s">
        <v>1292</v>
      </c>
      <c r="C17" s="1201"/>
      <c r="D17" s="2714"/>
      <c r="E17" s="2714"/>
      <c r="F17" s="2714"/>
      <c r="G17" s="2714"/>
      <c r="H17" s="2714"/>
      <c r="I17" s="2714"/>
      <c r="J17" s="2714"/>
      <c r="K17" s="2714"/>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7"/>
      <c r="C20" s="2707"/>
      <c r="D20" s="2707"/>
      <c r="E20" s="2707"/>
      <c r="F20" s="2707"/>
      <c r="G20" s="2707"/>
      <c r="H20" s="2707"/>
      <c r="I20" s="2707"/>
      <c r="J20" s="2707"/>
      <c r="K20" s="2707"/>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707"/>
      <c r="C23" s="2707"/>
      <c r="D23" s="2707"/>
      <c r="E23" s="2707"/>
      <c r="F23" s="2707"/>
      <c r="G23" s="2707"/>
      <c r="H23" s="2707"/>
      <c r="I23" s="2707"/>
      <c r="J23" s="2707"/>
      <c r="K23" s="2707"/>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707"/>
      <c r="C26" s="2707"/>
      <c r="D26" s="2707"/>
      <c r="E26" s="2707"/>
      <c r="F26" s="2707"/>
      <c r="G26" s="2707"/>
      <c r="H26" s="2707"/>
      <c r="I26" s="2707"/>
      <c r="J26" s="2707"/>
      <c r="K26" s="2707"/>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707"/>
      <c r="C29" s="2707"/>
      <c r="D29" s="2707"/>
      <c r="E29" s="2707"/>
      <c r="F29" s="2707"/>
      <c r="G29" s="2707"/>
      <c r="H29" s="2707"/>
      <c r="I29" s="2707"/>
      <c r="J29" s="2707"/>
      <c r="K29" s="2707"/>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7"/>
      <c r="C32" s="2707"/>
      <c r="D32" s="2707"/>
      <c r="E32" s="2707"/>
      <c r="F32" s="2707"/>
      <c r="G32" s="2707"/>
      <c r="H32" s="2707"/>
      <c r="I32" s="2707"/>
      <c r="J32" s="2707"/>
      <c r="K32" s="2707"/>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7"/>
      <c r="C35" s="2707"/>
      <c r="D35" s="2707"/>
      <c r="E35" s="2707"/>
      <c r="F35" s="2707"/>
      <c r="G35" s="2707"/>
      <c r="H35" s="2707"/>
      <c r="I35" s="2707"/>
      <c r="J35" s="2707"/>
      <c r="K35" s="2707"/>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7"/>
      <c r="C38" s="2707"/>
      <c r="D38" s="2707"/>
      <c r="E38" s="2707"/>
      <c r="F38" s="2707"/>
      <c r="G38" s="2707"/>
      <c r="H38" s="2707"/>
      <c r="I38" s="2707"/>
      <c r="J38" s="2707"/>
      <c r="K38" s="2707"/>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707"/>
      <c r="C41" s="2707"/>
      <c r="D41" s="2707"/>
      <c r="E41" s="2707"/>
      <c r="F41" s="2707"/>
      <c r="G41" s="2707"/>
      <c r="H41" s="2707"/>
      <c r="I41" s="2707"/>
      <c r="J41" s="2707"/>
      <c r="K41" s="2707"/>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92" t="str">
        <f>'Single Audit Cover'!A7</f>
        <v>Earlville CUSD 9</v>
      </c>
      <c r="C1" s="2692"/>
      <c r="D1" s="2692"/>
      <c r="E1" s="1285"/>
    </row>
    <row r="2" spans="2:5" s="1103" customFormat="1" ht="12.75" customHeight="1" x14ac:dyDescent="0.2">
      <c r="B2" s="2694">
        <f>'Single Audit Cover'!E7</f>
        <v>35050009026</v>
      </c>
      <c r="C2" s="2694"/>
      <c r="D2" s="2694"/>
      <c r="E2" s="1286"/>
    </row>
    <row r="3" spans="2:5" ht="12.75" customHeight="1" x14ac:dyDescent="0.2">
      <c r="B3" s="2708" t="s">
        <v>1746</v>
      </c>
      <c r="C3" s="2708"/>
      <c r="D3" s="2708"/>
      <c r="E3" s="1095"/>
    </row>
    <row r="4" spans="2:5" s="1103" customFormat="1" ht="12.75" customHeight="1" x14ac:dyDescent="0.2">
      <c r="B4" s="2718" t="str">
        <f>'Single Audit Cover'!A4</f>
        <v>Year Ending June 30, 2020</v>
      </c>
      <c r="C4" s="2718"/>
      <c r="D4" s="2718"/>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1" t="s">
        <v>383</v>
      </c>
      <c r="B1" s="2261"/>
      <c r="C1" s="2261"/>
      <c r="D1" s="2261"/>
      <c r="E1" s="2261"/>
      <c r="F1" s="2261"/>
      <c r="G1" s="2261"/>
      <c r="H1" s="2261"/>
      <c r="I1" s="2261"/>
      <c r="J1" s="2261"/>
      <c r="K1" s="2261"/>
      <c r="L1" s="2261"/>
      <c r="M1" s="226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65350826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3.6727000000000003E-2</v>
      </c>
      <c r="E10" s="333" t="s">
        <v>998</v>
      </c>
      <c r="F10" s="332">
        <v>7.0499999999999998E-3</v>
      </c>
      <c r="G10" s="333" t="s">
        <v>998</v>
      </c>
      <c r="H10" s="332">
        <v>1.707E-3</v>
      </c>
      <c r="I10" s="333" t="s">
        <v>999</v>
      </c>
      <c r="J10" s="1473">
        <f>ROUND(D10+F10+H10,5)</f>
        <v>4.548E-2</v>
      </c>
      <c r="K10" s="217"/>
      <c r="L10" s="332">
        <v>5.0000000000000001E-4</v>
      </c>
      <c r="M10" s="217"/>
    </row>
    <row r="11" spans="1:14" ht="7.5" customHeight="1" x14ac:dyDescent="0.2">
      <c r="B11" s="217"/>
      <c r="C11" s="217"/>
      <c r="D11" s="2271" t="str">
        <f>IF(SUM(J10)&lt;=0.0999999,"","Enter the Tax Rates by moving the decimal two places to the left.")</f>
        <v/>
      </c>
      <c r="E11" s="2272"/>
      <c r="F11" s="2272"/>
      <c r="G11" s="2272"/>
      <c r="H11" s="2272"/>
      <c r="I11" s="2272"/>
      <c r="J11" s="227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5479352</v>
      </c>
      <c r="E16" s="1597"/>
      <c r="F16" s="1596">
        <f>SUM('Acct Summary 7-8'!C17,'Acct Summary 7-8'!D17,'Acct Summary 7-8'!F17)</f>
        <v>4795364</v>
      </c>
      <c r="G16" s="1597"/>
      <c r="H16" s="1596">
        <f>SUM(D16-F16)</f>
        <v>683988</v>
      </c>
      <c r="I16" s="1598"/>
      <c r="J16" s="1596">
        <f>SUM('Acct Summary 7-8'!C81,'Acct Summary 7-8'!D81,'Acct Summary 7-8'!F81,'Acct Summary 7-8'!I81)</f>
        <v>5417598</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f>IF(B31="X",(J7*0.069),IF(B32="X",(J7*0.138),"Enter x in a.or b."))</f>
        <v>9018413.9879999999</v>
      </c>
      <c r="I31" s="345"/>
      <c r="J31" s="217"/>
      <c r="K31" s="217"/>
      <c r="L31" s="217"/>
      <c r="M31" s="217"/>
    </row>
    <row r="32" spans="1:13" ht="13.35" customHeight="1" x14ac:dyDescent="0.2">
      <c r="B32" s="346" t="s">
        <v>2029</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2835000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2"/>
      <c r="C54" s="2263"/>
      <c r="D54" s="2263"/>
      <c r="E54" s="2263"/>
      <c r="F54" s="2263"/>
      <c r="G54" s="2263"/>
      <c r="H54" s="2263"/>
      <c r="I54" s="2263"/>
      <c r="J54" s="2263"/>
      <c r="K54" s="2263"/>
      <c r="L54" s="2264"/>
      <c r="M54" s="357"/>
    </row>
    <row r="55" spans="1:13" ht="12.75" customHeight="1" x14ac:dyDescent="0.2">
      <c r="B55" s="2265"/>
      <c r="C55" s="2266"/>
      <c r="D55" s="2266"/>
      <c r="E55" s="2266"/>
      <c r="F55" s="2266"/>
      <c r="G55" s="2266"/>
      <c r="H55" s="2266"/>
      <c r="I55" s="2266"/>
      <c r="J55" s="2266"/>
      <c r="K55" s="2266"/>
      <c r="L55" s="2267"/>
      <c r="M55" s="357"/>
    </row>
    <row r="56" spans="1:13" ht="12.75" customHeight="1" x14ac:dyDescent="0.2">
      <c r="B56" s="2265"/>
      <c r="C56" s="2266"/>
      <c r="D56" s="2266"/>
      <c r="E56" s="2266"/>
      <c r="F56" s="2266"/>
      <c r="G56" s="2266"/>
      <c r="H56" s="2266"/>
      <c r="I56" s="2266"/>
      <c r="J56" s="2266"/>
      <c r="K56" s="2266"/>
      <c r="L56" s="2267"/>
      <c r="M56" s="217"/>
    </row>
    <row r="57" spans="1:13" ht="12.75" customHeight="1" x14ac:dyDescent="0.2">
      <c r="B57" s="2265"/>
      <c r="C57" s="2266"/>
      <c r="D57" s="2266"/>
      <c r="E57" s="2266"/>
      <c r="F57" s="2266"/>
      <c r="G57" s="2266"/>
      <c r="H57" s="2266"/>
      <c r="I57" s="2266"/>
      <c r="J57" s="2266"/>
      <c r="K57" s="2266"/>
      <c r="L57" s="2267"/>
      <c r="M57" s="217"/>
    </row>
    <row r="58" spans="1:13" x14ac:dyDescent="0.2">
      <c r="B58" s="2268"/>
      <c r="C58" s="2269"/>
      <c r="D58" s="2269"/>
      <c r="E58" s="2269"/>
      <c r="F58" s="2269"/>
      <c r="G58" s="2269"/>
      <c r="H58" s="2269"/>
      <c r="I58" s="2269"/>
      <c r="J58" s="2269"/>
      <c r="K58" s="2269"/>
      <c r="L58" s="227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3"/>
      <c r="D61" s="227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E46" sqref="E4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6"/>
      <c r="B1" s="2277"/>
      <c r="C1" s="2277"/>
      <c r="D1" s="361"/>
      <c r="E1" s="361"/>
      <c r="F1" s="361"/>
      <c r="G1" s="361"/>
      <c r="H1" s="361"/>
      <c r="I1" s="361"/>
      <c r="J1" s="361"/>
      <c r="K1" s="361"/>
      <c r="L1" s="361"/>
      <c r="M1" s="361"/>
      <c r="N1" s="361"/>
      <c r="O1" s="2276"/>
      <c r="P1" s="2277"/>
      <c r="Q1" s="2277"/>
    </row>
    <row r="2" spans="1:18" ht="15" x14ac:dyDescent="0.2">
      <c r="A2" s="2280" t="s">
        <v>552</v>
      </c>
      <c r="B2" s="2280"/>
      <c r="C2" s="2280"/>
      <c r="D2" s="2280"/>
      <c r="E2" s="2280"/>
      <c r="F2" s="2280"/>
      <c r="G2" s="2280"/>
      <c r="H2" s="2280"/>
      <c r="I2" s="2280"/>
      <c r="J2" s="2280"/>
      <c r="K2" s="2280"/>
      <c r="L2" s="2280"/>
      <c r="M2" s="2280"/>
      <c r="N2" s="2280"/>
      <c r="O2" s="2280"/>
      <c r="P2" s="2280"/>
      <c r="Q2" s="2280"/>
      <c r="R2" s="2280"/>
    </row>
    <row r="3" spans="1:18" ht="12.75" x14ac:dyDescent="0.2">
      <c r="A3" s="2281" t="s">
        <v>1399</v>
      </c>
      <c r="B3" s="2281"/>
      <c r="C3" s="2281"/>
      <c r="D3" s="2281"/>
      <c r="E3" s="2281"/>
      <c r="F3" s="2281"/>
      <c r="G3" s="2281"/>
      <c r="H3" s="2281"/>
      <c r="I3" s="2281"/>
      <c r="J3" s="2281"/>
      <c r="K3" s="2281"/>
      <c r="L3" s="2281"/>
      <c r="M3" s="2281"/>
      <c r="N3" s="2281"/>
      <c r="O3" s="2281"/>
      <c r="P3" s="2281"/>
      <c r="Q3" s="2281"/>
      <c r="R3" s="2281"/>
    </row>
    <row r="4" spans="1:18" x14ac:dyDescent="0.2">
      <c r="A4" s="2282" t="s">
        <v>1540</v>
      </c>
      <c r="B4" s="2282"/>
      <c r="C4" s="2282"/>
      <c r="D4" s="2282"/>
      <c r="E4" s="2282"/>
      <c r="F4" s="2282"/>
      <c r="G4" s="2282"/>
      <c r="H4" s="2282"/>
      <c r="I4" s="2282"/>
      <c r="J4" s="2282"/>
      <c r="K4" s="2282"/>
      <c r="L4" s="2282"/>
      <c r="M4" s="2282"/>
      <c r="N4" s="2282"/>
      <c r="O4" s="2282"/>
      <c r="P4" s="2282"/>
      <c r="Q4" s="2282"/>
      <c r="R4" s="228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Earlville CUSD 9</v>
      </c>
      <c r="E7" s="368"/>
      <c r="G7" s="247"/>
      <c r="H7" s="364"/>
      <c r="I7" s="364"/>
      <c r="J7" s="364"/>
      <c r="K7" s="364"/>
      <c r="L7" s="307"/>
      <c r="M7" s="307"/>
      <c r="N7" s="307"/>
      <c r="O7" s="307"/>
      <c r="P7" s="307"/>
    </row>
    <row r="8" spans="1:18" ht="12.75" x14ac:dyDescent="0.2">
      <c r="A8" s="307"/>
      <c r="B8" s="307"/>
      <c r="C8" s="366" t="s">
        <v>1117</v>
      </c>
      <c r="D8" s="369">
        <f>COVER!A13</f>
        <v>35050009026</v>
      </c>
      <c r="E8" s="370"/>
      <c r="G8" s="307"/>
      <c r="H8" s="307"/>
      <c r="I8" s="307"/>
      <c r="J8" s="307"/>
      <c r="K8" s="307"/>
      <c r="L8" s="307"/>
      <c r="M8" s="307"/>
      <c r="N8" s="307"/>
      <c r="O8" s="307"/>
      <c r="P8" s="307"/>
    </row>
    <row r="9" spans="1:18" ht="12.75" x14ac:dyDescent="0.2">
      <c r="A9" s="307"/>
      <c r="B9" s="307"/>
      <c r="C9" s="366" t="s">
        <v>708</v>
      </c>
      <c r="D9" s="371" t="str">
        <f>COVER!A15</f>
        <v>LaSalle, DeKalb, and Lee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5417598</v>
      </c>
      <c r="I12" s="380"/>
      <c r="J12" s="380"/>
      <c r="K12" s="1609">
        <f>TRUNC((H12/H13*100000),5)/100000</f>
        <v>0.98872968920000004</v>
      </c>
      <c r="L12" s="381"/>
      <c r="M12" s="337" t="s">
        <v>1136</v>
      </c>
      <c r="N12" s="337"/>
      <c r="O12" s="1612">
        <v>0.35</v>
      </c>
      <c r="P12" s="213"/>
      <c r="Q12" s="213"/>
    </row>
    <row r="13" spans="1:18" s="382" customFormat="1" ht="12.75" x14ac:dyDescent="0.2">
      <c r="A13" s="213"/>
      <c r="B13" s="377"/>
      <c r="C13" s="2278" t="s">
        <v>1315</v>
      </c>
      <c r="D13" s="2279"/>
      <c r="E13" s="213"/>
      <c r="F13" s="383" t="s">
        <v>788</v>
      </c>
      <c r="G13" s="378"/>
      <c r="H13" s="1601">
        <f>SUM('Acct Summary 7-8'!C8+'Acct Summary 7-8'!D8+'Acct Summary 7-8'!F8+'Acct Summary 7-8'!I8)+H14</f>
        <v>5479352</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4795364</v>
      </c>
      <c r="I17" s="380"/>
      <c r="J17" s="389"/>
      <c r="K17" s="1609">
        <f>TRUNC((H17/H18*100000),5)/100000</f>
        <v>0.87516991060000004</v>
      </c>
      <c r="L17" s="381"/>
      <c r="M17" s="390" t="s">
        <v>1163</v>
      </c>
      <c r="O17" s="1615" t="str">
        <f>IF(AND(O16="2", J20 &gt; 2),"1",IF(AND(O16 = "1", J20 &gt; 2),"2",IF(AND(O16="1", J20 &gt;1),"1","0")))</f>
        <v>0</v>
      </c>
      <c r="P17" s="213"/>
    </row>
    <row r="18" spans="1:18" s="382" customFormat="1" ht="11.25" x14ac:dyDescent="0.2">
      <c r="A18" s="213"/>
      <c r="B18" s="377"/>
      <c r="C18" s="2278" t="s">
        <v>1308</v>
      </c>
      <c r="D18" s="2279"/>
      <c r="E18" s="213"/>
      <c r="F18" s="391" t="s">
        <v>789</v>
      </c>
      <c r="G18" s="378"/>
      <c r="H18" s="1601">
        <f>SUM('Acct Summary 7-8'!C8+'Acct Summary 7-8'!D8+'Acct Summary 7-8'!F8+'Acct Summary 7-8'!I8)+H19</f>
        <v>5479352</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5" t="s">
        <v>1398</v>
      </c>
      <c r="D24" s="2275"/>
      <c r="E24" s="213"/>
      <c r="F24" s="213" t="s">
        <v>442</v>
      </c>
      <c r="G24" s="378"/>
      <c r="H24" s="1601">
        <f>SUM('Assets-Liab 5-6'!C4+'Assets-Liab 5-6'!D4+'Assets-Liab 5-6'!F4+'Assets-Liab 5-6'!I4+'Assets-Liab 5-6'!C5+'Assets-Liab 5-6'!D5+'Assets-Liab 5-6'!F5+'Assets-Liab 5-6'!I5)</f>
        <v>5417598</v>
      </c>
      <c r="I24" s="394"/>
      <c r="J24" s="394"/>
      <c r="K24" s="1605">
        <f>TRUNC(((H24/H25*100000)/100000),2)</f>
        <v>406.71</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13320.45556</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2526332.2315099998</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3</v>
      </c>
      <c r="P31" s="211"/>
    </row>
    <row r="32" spans="1:18" s="382" customFormat="1" ht="11.25" x14ac:dyDescent="0.2">
      <c r="A32" s="213"/>
      <c r="B32" s="377"/>
      <c r="C32" s="213" t="s">
        <v>842</v>
      </c>
      <c r="D32" s="213"/>
      <c r="E32" s="213"/>
      <c r="F32" s="213"/>
      <c r="G32" s="378"/>
      <c r="H32" s="1601">
        <f>'FP Info 3'!H37</f>
        <v>2835000</v>
      </c>
      <c r="I32" s="392"/>
      <c r="J32" s="392"/>
      <c r="K32" s="1605">
        <f>TRUNC(100-((((H32/H33*100))*100)/100),2)</f>
        <v>68.56</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9018413.9879999999</v>
      </c>
      <c r="I33" s="392"/>
      <c r="J33" s="392"/>
      <c r="K33" s="379"/>
      <c r="L33" s="213"/>
      <c r="M33" s="401" t="s">
        <v>1137</v>
      </c>
      <c r="N33" s="401"/>
      <c r="O33" s="1618">
        <f>(O31*O32)</f>
        <v>0.30000000000000004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2" activePane="bottomLeft" state="frozen"/>
      <selection pane="bottomLeft" activeCell="N23" sqref="N2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5" t="s">
        <v>967</v>
      </c>
      <c r="B3" s="2286"/>
      <c r="C3" s="1351"/>
      <c r="D3" s="1352"/>
      <c r="E3" s="1352"/>
      <c r="F3" s="1352"/>
      <c r="G3" s="1352"/>
      <c r="H3" s="1352"/>
      <c r="I3" s="1352"/>
      <c r="J3" s="1352"/>
      <c r="K3" s="1352"/>
      <c r="L3" s="1352"/>
      <c r="M3" s="1353"/>
      <c r="N3" s="1354"/>
    </row>
    <row r="4" spans="1:14" ht="13.5" customHeight="1" x14ac:dyDescent="0.2">
      <c r="A4" s="427" t="s">
        <v>1635</v>
      </c>
      <c r="B4" s="428"/>
      <c r="C4" s="1622">
        <v>2319828</v>
      </c>
      <c r="D4" s="1623">
        <v>99577</v>
      </c>
      <c r="E4" s="1623">
        <v>10329</v>
      </c>
      <c r="F4" s="1623">
        <v>206684</v>
      </c>
      <c r="G4" s="1623">
        <v>161487</v>
      </c>
      <c r="H4" s="1623"/>
      <c r="I4" s="1623">
        <v>60695</v>
      </c>
      <c r="J4" s="1624">
        <v>89202</v>
      </c>
      <c r="K4" s="1623">
        <v>85059</v>
      </c>
      <c r="L4" s="1623">
        <v>46547</v>
      </c>
      <c r="M4" s="1625"/>
      <c r="N4" s="1626"/>
    </row>
    <row r="5" spans="1:14" x14ac:dyDescent="0.2">
      <c r="A5" s="427" t="s">
        <v>985</v>
      </c>
      <c r="B5" s="429">
        <v>120</v>
      </c>
      <c r="C5" s="1622">
        <v>1574548</v>
      </c>
      <c r="D5" s="1623">
        <v>648242</v>
      </c>
      <c r="E5" s="1623">
        <v>1864</v>
      </c>
      <c r="F5" s="1623">
        <v>435777</v>
      </c>
      <c r="G5" s="1623">
        <v>89574</v>
      </c>
      <c r="H5" s="1623"/>
      <c r="I5" s="1623">
        <v>72247</v>
      </c>
      <c r="J5" s="1624">
        <v>111309</v>
      </c>
      <c r="K5" s="1627">
        <v>27414</v>
      </c>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3894376</v>
      </c>
      <c r="D13" s="1637">
        <f t="shared" ref="D13:L13" si="0">SUM(D4:D12)</f>
        <v>747819</v>
      </c>
      <c r="E13" s="1637">
        <f t="shared" si="0"/>
        <v>12193</v>
      </c>
      <c r="F13" s="1637">
        <f t="shared" si="0"/>
        <v>642461</v>
      </c>
      <c r="G13" s="1637">
        <f t="shared" si="0"/>
        <v>251061</v>
      </c>
      <c r="H13" s="1637">
        <f t="shared" si="0"/>
        <v>0</v>
      </c>
      <c r="I13" s="1637">
        <f t="shared" si="0"/>
        <v>132942</v>
      </c>
      <c r="J13" s="1637">
        <f t="shared" si="0"/>
        <v>200511</v>
      </c>
      <c r="K13" s="1637">
        <f t="shared" si="0"/>
        <v>112473</v>
      </c>
      <c r="L13" s="1637">
        <f t="shared" si="0"/>
        <v>46547</v>
      </c>
      <c r="M13" s="1625"/>
      <c r="N13" s="1626"/>
    </row>
    <row r="14" spans="1:14" ht="18" customHeight="1" thickTop="1" x14ac:dyDescent="0.2">
      <c r="A14" s="2287" t="s">
        <v>146</v>
      </c>
      <c r="B14" s="2288"/>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160300</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4246594</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1267</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120627+99306</f>
        <v>219933</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12193</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2824671</v>
      </c>
    </row>
    <row r="23" spans="1:14" ht="13.5" customHeight="1" thickBot="1" x14ac:dyDescent="0.25">
      <c r="A23" s="1475" t="s">
        <v>638</v>
      </c>
      <c r="B23" s="1478"/>
      <c r="C23" s="1625"/>
      <c r="D23" s="1625"/>
      <c r="E23" s="1625"/>
      <c r="F23" s="1625"/>
      <c r="G23" s="1625"/>
      <c r="H23" s="1625"/>
      <c r="I23" s="1625"/>
      <c r="J23" s="1625"/>
      <c r="K23" s="1625"/>
      <c r="L23" s="1625"/>
      <c r="M23" s="1644">
        <f>SUM(M15:M22)</f>
        <v>4628094</v>
      </c>
      <c r="N23" s="1644">
        <f>SUM(N21:N22)</f>
        <v>2836864</v>
      </c>
    </row>
    <row r="24" spans="1:14" ht="18" customHeight="1" thickTop="1" x14ac:dyDescent="0.2">
      <c r="A24" s="2289" t="s">
        <v>594</v>
      </c>
      <c r="B24" s="2290"/>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46547</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46547</v>
      </c>
      <c r="M34" s="1625"/>
      <c r="N34" s="1635"/>
    </row>
    <row r="35" spans="1:14" ht="18" customHeight="1" thickTop="1" x14ac:dyDescent="0.2">
      <c r="A35" s="2291" t="s">
        <v>526</v>
      </c>
      <c r="B35" s="2292"/>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2835000</v>
      </c>
    </row>
    <row r="37" spans="1:14" ht="13.5" thickBot="1" x14ac:dyDescent="0.25">
      <c r="A37" s="1475" t="s">
        <v>648</v>
      </c>
      <c r="B37" s="1478"/>
      <c r="C37" s="1632"/>
      <c r="D37" s="1632"/>
      <c r="E37" s="1632"/>
      <c r="F37" s="1632"/>
      <c r="G37" s="1632"/>
      <c r="H37" s="1632"/>
      <c r="I37" s="1632"/>
      <c r="J37" s="1632"/>
      <c r="K37" s="1632"/>
      <c r="L37" s="1635"/>
      <c r="M37" s="1625"/>
      <c r="N37" s="1644">
        <f>SUM(N36:N36)</f>
        <v>2835000</v>
      </c>
    </row>
    <row r="38" spans="1:14" s="307" customFormat="1" ht="13.5" customHeight="1" thickTop="1" x14ac:dyDescent="0.2">
      <c r="A38" s="438" t="s">
        <v>417</v>
      </c>
      <c r="B38" s="432">
        <v>714</v>
      </c>
      <c r="C38" s="1623">
        <v>295814</v>
      </c>
      <c r="D38" s="1623"/>
      <c r="E38" s="1623">
        <v>12193</v>
      </c>
      <c r="F38" s="1623"/>
      <c r="G38" s="1623">
        <v>54698</v>
      </c>
      <c r="H38" s="1623"/>
      <c r="I38" s="1623"/>
      <c r="J38" s="1624"/>
      <c r="K38" s="1623"/>
      <c r="L38" s="1636"/>
      <c r="M38" s="1654"/>
      <c r="N38" s="1654"/>
    </row>
    <row r="39" spans="1:14" s="307" customFormat="1" ht="13.5" customHeight="1" x14ac:dyDescent="0.2">
      <c r="A39" s="438" t="s">
        <v>339</v>
      </c>
      <c r="B39" s="432">
        <v>730</v>
      </c>
      <c r="C39" s="1623">
        <v>3598562</v>
      </c>
      <c r="D39" s="1623">
        <v>747819</v>
      </c>
      <c r="E39" s="1623"/>
      <c r="F39" s="1623">
        <v>642461</v>
      </c>
      <c r="G39" s="1623">
        <v>196363</v>
      </c>
      <c r="H39" s="1623"/>
      <c r="I39" s="1623">
        <v>132942</v>
      </c>
      <c r="J39" s="1624">
        <v>200511</v>
      </c>
      <c r="K39" s="1623">
        <v>112473</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4628154</v>
      </c>
      <c r="N40" s="1654"/>
    </row>
    <row r="41" spans="1:14" ht="13.5" customHeight="1" thickBot="1" x14ac:dyDescent="0.25">
      <c r="A41" s="1475" t="s">
        <v>650</v>
      </c>
      <c r="B41" s="1454"/>
      <c r="C41" s="1644">
        <f>(SUM(C34,C37,C38,C39))</f>
        <v>3894376</v>
      </c>
      <c r="D41" s="1644">
        <f t="shared" ref="D41:L41" si="2">SUM(D34,D37,D38:D39)</f>
        <v>747819</v>
      </c>
      <c r="E41" s="1644">
        <f t="shared" si="2"/>
        <v>12193</v>
      </c>
      <c r="F41" s="1644">
        <f t="shared" si="2"/>
        <v>642461</v>
      </c>
      <c r="G41" s="1644">
        <f t="shared" si="2"/>
        <v>251061</v>
      </c>
      <c r="H41" s="1644">
        <f t="shared" si="2"/>
        <v>0</v>
      </c>
      <c r="I41" s="1644">
        <f t="shared" si="2"/>
        <v>132942</v>
      </c>
      <c r="J41" s="1644">
        <f t="shared" si="2"/>
        <v>200511</v>
      </c>
      <c r="K41" s="1644">
        <f t="shared" si="2"/>
        <v>112473</v>
      </c>
      <c r="L41" s="1644">
        <f t="shared" si="2"/>
        <v>46547</v>
      </c>
      <c r="M41" s="1644">
        <f>SUM(M40)</f>
        <v>4628154</v>
      </c>
      <c r="N41" s="1644">
        <f>SUM(N37)</f>
        <v>2835000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pane="bottomLeft" activeCell="G79" sqref="G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3" t="s">
        <v>1167</v>
      </c>
      <c r="B3" s="2314"/>
      <c r="C3" s="1356"/>
      <c r="D3" s="1357"/>
      <c r="E3" s="1357"/>
      <c r="F3" s="1357"/>
      <c r="G3" s="1357"/>
      <c r="H3" s="1357"/>
      <c r="I3" s="1357"/>
      <c r="J3" s="1357"/>
      <c r="K3" s="1358"/>
      <c r="L3" s="446"/>
    </row>
    <row r="4" spans="1:13" ht="15.75" customHeight="1" x14ac:dyDescent="0.2">
      <c r="A4" s="1587" t="s">
        <v>1485</v>
      </c>
      <c r="B4" s="1588">
        <v>1000</v>
      </c>
      <c r="C4" s="1656">
        <f>'Revenues 9-14'!C109</f>
        <v>2776449</v>
      </c>
      <c r="D4" s="1656">
        <f>'Revenues 9-14'!D109</f>
        <v>436278</v>
      </c>
      <c r="E4" s="1656">
        <f>'Revenues 9-14'!E109</f>
        <v>437475</v>
      </c>
      <c r="F4" s="1656">
        <f>'Revenues 9-14'!F109</f>
        <v>134792</v>
      </c>
      <c r="G4" s="1656">
        <f>'Revenues 9-14'!G109</f>
        <v>133255</v>
      </c>
      <c r="H4" s="1656">
        <f>'Revenues 9-14'!H109</f>
        <v>0</v>
      </c>
      <c r="I4" s="1656">
        <f>'Revenues 9-14'!I109</f>
        <v>32655</v>
      </c>
      <c r="J4" s="1656">
        <f>'Revenues 9-14'!J109</f>
        <v>206037</v>
      </c>
      <c r="K4" s="1656">
        <f>'Revenues 9-14'!K109</f>
        <v>31847</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1434312</v>
      </c>
      <c r="D6" s="1657">
        <f>'Revenues 9-14'!D170</f>
        <v>50000</v>
      </c>
      <c r="E6" s="1657">
        <f>'Revenues 9-14'!E170</f>
        <v>0</v>
      </c>
      <c r="F6" s="1657">
        <f>'Revenues 9-14'!F170</f>
        <v>105542</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509324</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4720085</v>
      </c>
      <c r="D8" s="1644">
        <f t="shared" ref="D8:K8" si="0">SUM(D4:D7)</f>
        <v>486278</v>
      </c>
      <c r="E8" s="1644">
        <f t="shared" si="0"/>
        <v>437475</v>
      </c>
      <c r="F8" s="1644">
        <f t="shared" si="0"/>
        <v>240334</v>
      </c>
      <c r="G8" s="1644">
        <f t="shared" si="0"/>
        <v>133255</v>
      </c>
      <c r="H8" s="1644">
        <f t="shared" si="0"/>
        <v>0</v>
      </c>
      <c r="I8" s="1644">
        <f t="shared" si="0"/>
        <v>32655</v>
      </c>
      <c r="J8" s="1644">
        <f t="shared" si="0"/>
        <v>206037</v>
      </c>
      <c r="K8" s="1644">
        <f t="shared" si="0"/>
        <v>31847</v>
      </c>
      <c r="L8" s="325"/>
    </row>
    <row r="9" spans="1:13" ht="15.75" thickTop="1" x14ac:dyDescent="0.2">
      <c r="A9" s="449" t="s">
        <v>1637</v>
      </c>
      <c r="B9" s="450">
        <v>3998</v>
      </c>
      <c r="C9" s="1636">
        <v>254080</v>
      </c>
      <c r="D9" s="1663"/>
      <c r="E9" s="1636"/>
      <c r="F9" s="1636"/>
      <c r="G9" s="1664"/>
      <c r="H9" s="1636"/>
      <c r="I9" s="1659" t="s">
        <v>1161</v>
      </c>
      <c r="J9" s="1633"/>
      <c r="K9" s="1636"/>
      <c r="L9" s="325"/>
    </row>
    <row r="10" spans="1:13" s="452" customFormat="1" ht="13.5" thickBot="1" x14ac:dyDescent="0.25">
      <c r="A10" s="1475" t="s">
        <v>1165</v>
      </c>
      <c r="B10" s="1456"/>
      <c r="C10" s="1644">
        <f>SUM(C8:C9)</f>
        <v>4974165</v>
      </c>
      <c r="D10" s="1644">
        <f t="shared" ref="D10:K10" si="1">SUM(D8:D9)</f>
        <v>486278</v>
      </c>
      <c r="E10" s="1644">
        <f t="shared" si="1"/>
        <v>437475</v>
      </c>
      <c r="F10" s="1644">
        <f t="shared" si="1"/>
        <v>240334</v>
      </c>
      <c r="G10" s="1644">
        <f t="shared" si="1"/>
        <v>133255</v>
      </c>
      <c r="H10" s="1644">
        <f t="shared" si="1"/>
        <v>0</v>
      </c>
      <c r="I10" s="1644">
        <f t="shared" si="1"/>
        <v>32655</v>
      </c>
      <c r="J10" s="1644">
        <f t="shared" si="1"/>
        <v>206037</v>
      </c>
      <c r="K10" s="1644">
        <f t="shared" si="1"/>
        <v>31847</v>
      </c>
      <c r="L10" s="451"/>
    </row>
    <row r="11" spans="1:13" s="452" customFormat="1" ht="16.7" customHeight="1" thickTop="1" x14ac:dyDescent="0.2">
      <c r="A11" s="2287" t="s">
        <v>1168</v>
      </c>
      <c r="B11" s="2288"/>
      <c r="C11" s="1652"/>
      <c r="D11" s="1653"/>
      <c r="E11" s="1653"/>
      <c r="F11" s="1653"/>
      <c r="G11" s="1653"/>
      <c r="H11" s="1653"/>
      <c r="I11" s="1653"/>
      <c r="J11" s="1653"/>
      <c r="K11" s="1665"/>
      <c r="L11" s="451"/>
    </row>
    <row r="12" spans="1:13" ht="15.75" customHeight="1" x14ac:dyDescent="0.2">
      <c r="A12" s="1359" t="s">
        <v>453</v>
      </c>
      <c r="B12" s="1361">
        <v>1000</v>
      </c>
      <c r="C12" s="1656">
        <f>'Expenditures 15-22'!K33</f>
        <v>2789835</v>
      </c>
      <c r="D12" s="1666" t="s">
        <v>1161</v>
      </c>
      <c r="E12" s="1625" t="s">
        <v>1161</v>
      </c>
      <c r="F12" s="1625" t="s">
        <v>1161</v>
      </c>
      <c r="G12" s="1656">
        <f>'Expenditures 15-22'!K229</f>
        <v>52451</v>
      </c>
      <c r="H12" s="1667"/>
      <c r="I12" s="1625" t="s">
        <v>1161</v>
      </c>
      <c r="J12" s="1625" t="s">
        <v>1161</v>
      </c>
      <c r="K12" s="1667" t="s">
        <v>1161</v>
      </c>
      <c r="L12" s="325"/>
    </row>
    <row r="13" spans="1:13" ht="15.75" customHeight="1" x14ac:dyDescent="0.2">
      <c r="A13" s="1359" t="s">
        <v>454</v>
      </c>
      <c r="B13" s="1361">
        <v>2000</v>
      </c>
      <c r="C13" s="1657">
        <f>'Expenditures 15-22'!K74</f>
        <v>1206780</v>
      </c>
      <c r="D13" s="1657">
        <f>'Expenditures 15-22'!K129</f>
        <v>439874</v>
      </c>
      <c r="E13" s="1626" t="s">
        <v>1161</v>
      </c>
      <c r="F13" s="1657">
        <f>'Expenditures 15-22'!K184</f>
        <v>161657</v>
      </c>
      <c r="G13" s="1657">
        <f>'Expenditures 15-22'!K279</f>
        <v>59918</v>
      </c>
      <c r="H13" s="1657">
        <f>'Expenditures 15-22'!K303</f>
        <v>0</v>
      </c>
      <c r="I13" s="1625" t="s">
        <v>1161</v>
      </c>
      <c r="J13" s="1657">
        <f>'Expenditures 15-22'!K330</f>
        <v>150541</v>
      </c>
      <c r="K13" s="1668">
        <f>'Expenditures 15-22'!K352</f>
        <v>0</v>
      </c>
      <c r="L13" s="325"/>
    </row>
    <row r="14" spans="1:13" ht="15.75" customHeight="1" x14ac:dyDescent="0.2">
      <c r="A14" s="1359" t="s">
        <v>446</v>
      </c>
      <c r="B14" s="1361">
        <v>3000</v>
      </c>
      <c r="C14" s="1657">
        <f>'Expenditures 15-22'!K75</f>
        <v>32442</v>
      </c>
      <c r="D14" s="1657">
        <f>'Expenditures 15-22'!K130</f>
        <v>0</v>
      </c>
      <c r="E14" s="1666" t="s">
        <v>1161</v>
      </c>
      <c r="F14" s="1657">
        <f>'Expenditures 15-22'!K185</f>
        <v>0</v>
      </c>
      <c r="G14" s="1657">
        <f>'Expenditures 15-22'!K280</f>
        <v>3227</v>
      </c>
      <c r="H14" s="1662"/>
      <c r="I14" s="1625" t="s">
        <v>1161</v>
      </c>
      <c r="J14" s="1625" t="s">
        <v>1161</v>
      </c>
      <c r="K14" s="1662" t="s">
        <v>1161</v>
      </c>
      <c r="L14" s="325"/>
    </row>
    <row r="15" spans="1:13" ht="15.75" customHeight="1" x14ac:dyDescent="0.2">
      <c r="A15" s="1359" t="s">
        <v>107</v>
      </c>
      <c r="B15" s="1361">
        <v>4000</v>
      </c>
      <c r="C15" s="1657">
        <f>'Expenditures 15-22'!K102</f>
        <v>164776</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441050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4193833</v>
      </c>
      <c r="D17" s="1644">
        <f t="shared" si="2"/>
        <v>439874</v>
      </c>
      <c r="E17" s="1644">
        <f t="shared" si="2"/>
        <v>441050</v>
      </c>
      <c r="F17" s="1644">
        <f t="shared" si="2"/>
        <v>161657</v>
      </c>
      <c r="G17" s="1644">
        <f t="shared" si="2"/>
        <v>115596</v>
      </c>
      <c r="H17" s="1644">
        <f t="shared" si="2"/>
        <v>0</v>
      </c>
      <c r="I17" s="1625"/>
      <c r="J17" s="1644">
        <f>SUM(J12:J16)</f>
        <v>150541</v>
      </c>
      <c r="K17" s="1644">
        <f>SUM(K12:K16)</f>
        <v>0</v>
      </c>
      <c r="L17" s="325"/>
    </row>
    <row r="18" spans="1:12" ht="15" customHeight="1" thickTop="1" x14ac:dyDescent="0.2">
      <c r="A18" s="1479" t="s">
        <v>1638</v>
      </c>
      <c r="B18" s="1480">
        <v>4180</v>
      </c>
      <c r="C18" s="1656">
        <f t="shared" ref="C18:H18" si="3">C9</f>
        <v>254080</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4447913</v>
      </c>
      <c r="D19" s="1644">
        <f t="shared" si="4"/>
        <v>439874</v>
      </c>
      <c r="E19" s="1644">
        <f t="shared" si="4"/>
        <v>441050</v>
      </c>
      <c r="F19" s="1644">
        <f t="shared" si="4"/>
        <v>161657</v>
      </c>
      <c r="G19" s="1644">
        <f t="shared" si="4"/>
        <v>115596</v>
      </c>
      <c r="H19" s="1644">
        <f t="shared" si="4"/>
        <v>0</v>
      </c>
      <c r="I19" s="1625"/>
      <c r="J19" s="1644">
        <f>SUM(J17:J18)</f>
        <v>150541</v>
      </c>
      <c r="K19" s="1644">
        <f>SUM(K17:K18)</f>
        <v>0</v>
      </c>
      <c r="L19" s="325"/>
    </row>
    <row r="20" spans="1:12" ht="16.5" thickTop="1" thickBot="1" x14ac:dyDescent="0.25">
      <c r="A20" s="2303" t="s">
        <v>1639</v>
      </c>
      <c r="B20" s="2304"/>
      <c r="C20" s="1672">
        <f>C8-C17</f>
        <v>526252</v>
      </c>
      <c r="D20" s="1672">
        <f t="shared" ref="D20:K20" si="5">D8-D17</f>
        <v>46404</v>
      </c>
      <c r="E20" s="1672">
        <f t="shared" si="5"/>
        <v>-3575</v>
      </c>
      <c r="F20" s="1672">
        <f t="shared" si="5"/>
        <v>78677</v>
      </c>
      <c r="G20" s="1672">
        <f t="shared" si="5"/>
        <v>17659</v>
      </c>
      <c r="H20" s="1672">
        <f t="shared" si="5"/>
        <v>0</v>
      </c>
      <c r="I20" s="1672">
        <f t="shared" si="5"/>
        <v>32655</v>
      </c>
      <c r="J20" s="1672">
        <f t="shared" si="5"/>
        <v>55496</v>
      </c>
      <c r="K20" s="1672">
        <f t="shared" si="5"/>
        <v>31847</v>
      </c>
      <c r="L20" s="325"/>
    </row>
    <row r="21" spans="1:12" ht="16.7" customHeight="1" thickTop="1" x14ac:dyDescent="0.2">
      <c r="A21" s="2315" t="s">
        <v>591</v>
      </c>
      <c r="B21" s="2316"/>
      <c r="C21" s="1652"/>
      <c r="D21" s="1653"/>
      <c r="E21" s="1653"/>
      <c r="F21" s="1653"/>
      <c r="G21" s="1653"/>
      <c r="H21" s="1653"/>
      <c r="I21" s="1653"/>
      <c r="J21" s="1653"/>
      <c r="K21" s="1665"/>
      <c r="L21" s="453"/>
    </row>
    <row r="22" spans="1:12" ht="15.75" customHeight="1" collapsed="1" x14ac:dyDescent="0.2">
      <c r="A22" s="2311" t="s">
        <v>592</v>
      </c>
      <c r="B22" s="2312"/>
      <c r="C22" s="1632"/>
      <c r="D22" s="1632"/>
      <c r="E22" s="1632"/>
      <c r="F22" s="1632"/>
      <c r="G22" s="1632"/>
      <c r="H22" s="1632"/>
      <c r="I22" s="1632"/>
      <c r="J22" s="1632"/>
      <c r="K22" s="1632"/>
      <c r="L22" s="325"/>
    </row>
    <row r="23" spans="1:12" s="433" customFormat="1" ht="15.75" customHeight="1" x14ac:dyDescent="0.2">
      <c r="A23" s="2307" t="s">
        <v>290</v>
      </c>
      <c r="B23" s="2308"/>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309" t="s">
        <v>974</v>
      </c>
      <c r="B32" s="2310"/>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317" t="s">
        <v>371</v>
      </c>
      <c r="B44" s="2318"/>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11" t="s">
        <v>108</v>
      </c>
      <c r="B45" s="2312"/>
      <c r="C45" s="1675"/>
      <c r="D45" s="1675"/>
      <c r="E45" s="1675"/>
      <c r="F45" s="1675"/>
      <c r="G45" s="1675"/>
      <c r="H45" s="1675"/>
      <c r="I45" s="1675"/>
      <c r="J45" s="1675"/>
      <c r="K45" s="1675"/>
      <c r="L45" s="325"/>
    </row>
    <row r="46" spans="1:12" s="433" customFormat="1" ht="15.75" customHeight="1" x14ac:dyDescent="0.2">
      <c r="A46" s="2319" t="s">
        <v>109</v>
      </c>
      <c r="B46" s="2320"/>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293" t="s">
        <v>437</v>
      </c>
      <c r="B76" s="2294"/>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5" t="s">
        <v>1169</v>
      </c>
      <c r="B77" s="2296"/>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299" t="s">
        <v>593</v>
      </c>
      <c r="B78" s="2300"/>
      <c r="C78" s="1679">
        <f t="shared" ref="C78:K78" si="9">C20+C77</f>
        <v>526252</v>
      </c>
      <c r="D78" s="1679">
        <f t="shared" si="9"/>
        <v>46404</v>
      </c>
      <c r="E78" s="1679">
        <f t="shared" si="9"/>
        <v>-3575</v>
      </c>
      <c r="F78" s="1679">
        <f t="shared" si="9"/>
        <v>78677</v>
      </c>
      <c r="G78" s="1679">
        <f t="shared" si="9"/>
        <v>17659</v>
      </c>
      <c r="H78" s="1679">
        <f t="shared" si="9"/>
        <v>0</v>
      </c>
      <c r="I78" s="1679">
        <f t="shared" si="9"/>
        <v>32655</v>
      </c>
      <c r="J78" s="1679">
        <f t="shared" si="9"/>
        <v>55496</v>
      </c>
      <c r="K78" s="1679">
        <f t="shared" si="9"/>
        <v>31847</v>
      </c>
      <c r="L78" s="457"/>
    </row>
    <row r="79" spans="1:12" ht="13.5" thickTop="1" x14ac:dyDescent="0.2">
      <c r="A79" s="1902" t="str">
        <f>"Fund Balances - July 1, "&amp;'AFR20'!E2-1</f>
        <v>Fund Balances - July 1, 2019</v>
      </c>
      <c r="B79" s="458"/>
      <c r="C79" s="1633">
        <v>3368124</v>
      </c>
      <c r="D79" s="1680">
        <v>701415</v>
      </c>
      <c r="E79" s="1680">
        <v>15768</v>
      </c>
      <c r="F79" s="1680">
        <v>563784</v>
      </c>
      <c r="G79" s="1680">
        <v>233402</v>
      </c>
      <c r="H79" s="1680"/>
      <c r="I79" s="1680">
        <v>100287</v>
      </c>
      <c r="J79" s="1680">
        <v>145015</v>
      </c>
      <c r="K79" s="1680">
        <v>80626</v>
      </c>
      <c r="L79" s="325"/>
    </row>
    <row r="80" spans="1:12" x14ac:dyDescent="0.2">
      <c r="A80" s="2305" t="s">
        <v>1775</v>
      </c>
      <c r="B80" s="2306"/>
      <c r="C80" s="1624"/>
      <c r="D80" s="1624"/>
      <c r="E80" s="1624"/>
      <c r="F80" s="1624"/>
      <c r="G80" s="1624"/>
      <c r="H80" s="1624"/>
      <c r="I80" s="1624"/>
      <c r="J80" s="1624"/>
      <c r="K80" s="1624"/>
      <c r="L80" s="325"/>
    </row>
    <row r="81" spans="1:12" ht="13.5" thickBot="1" x14ac:dyDescent="0.25">
      <c r="A81" s="2297" t="str">
        <f>"Fund Balances - June 30, "&amp;'AFR20'!E2</f>
        <v>Fund Balances - June 30, 2020</v>
      </c>
      <c r="B81" s="2298"/>
      <c r="C81" s="1644">
        <f>(SUM(C78:C80))</f>
        <v>3894376</v>
      </c>
      <c r="D81" s="1644">
        <f>SUM(D78:D80)</f>
        <v>747819</v>
      </c>
      <c r="E81" s="1644">
        <f t="shared" ref="E81:K81" si="10">SUM(E78:E80)</f>
        <v>12193</v>
      </c>
      <c r="F81" s="1644">
        <f t="shared" si="10"/>
        <v>642461</v>
      </c>
      <c r="G81" s="1644">
        <f t="shared" si="10"/>
        <v>251061</v>
      </c>
      <c r="H81" s="1644">
        <f t="shared" si="10"/>
        <v>0</v>
      </c>
      <c r="I81" s="1644">
        <f t="shared" si="10"/>
        <v>132942</v>
      </c>
      <c r="J81" s="1644">
        <f t="shared" si="10"/>
        <v>200511</v>
      </c>
      <c r="K81" s="1644">
        <f t="shared" si="10"/>
        <v>112473</v>
      </c>
      <c r="L81" s="325"/>
    </row>
    <row r="82" spans="1:12" ht="0.75" customHeight="1" thickTop="1" thickBot="1" x14ac:dyDescent="0.25">
      <c r="A82" s="459" t="s">
        <v>340</v>
      </c>
      <c r="B82" s="460"/>
      <c r="C82" s="461">
        <f>(C81-C79)</f>
        <v>526252</v>
      </c>
      <c r="D82" s="461">
        <f t="shared" ref="D82:K82" si="11">(D81-D79)</f>
        <v>46404</v>
      </c>
      <c r="E82" s="461">
        <f t="shared" si="11"/>
        <v>-3575</v>
      </c>
      <c r="F82" s="461">
        <f t="shared" si="11"/>
        <v>78677</v>
      </c>
      <c r="G82" s="461">
        <f t="shared" si="11"/>
        <v>17659</v>
      </c>
      <c r="H82" s="461">
        <f t="shared" si="11"/>
        <v>0</v>
      </c>
      <c r="I82" s="461">
        <f t="shared" si="11"/>
        <v>32655</v>
      </c>
      <c r="J82" s="461">
        <f t="shared" si="11"/>
        <v>55496</v>
      </c>
      <c r="K82" s="461">
        <f t="shared" si="11"/>
        <v>31847</v>
      </c>
    </row>
    <row r="83" spans="1:12" ht="14.25" hidden="1" thickTop="1" thickBot="1" x14ac:dyDescent="0.25">
      <c r="A83" s="462" t="s">
        <v>341</v>
      </c>
      <c r="B83" s="428"/>
      <c r="C83" s="463">
        <f>C82/C81</f>
        <v>0.13513127648691345</v>
      </c>
      <c r="D83" s="463">
        <f t="shared" ref="D83:K83" si="12">D82/D81</f>
        <v>6.2052448520297024E-2</v>
      </c>
      <c r="E83" s="463">
        <f t="shared" si="12"/>
        <v>-0.293201016976954</v>
      </c>
      <c r="F83" s="463">
        <f t="shared" si="12"/>
        <v>0.1224619081936491</v>
      </c>
      <c r="G83" s="463">
        <f t="shared" si="12"/>
        <v>7.0337487702191892E-2</v>
      </c>
      <c r="H83" s="463" t="e">
        <f t="shared" si="12"/>
        <v>#DIV/0!</v>
      </c>
      <c r="I83" s="463">
        <f t="shared" si="12"/>
        <v>0.2456334341291691</v>
      </c>
      <c r="J83" s="463">
        <f t="shared" si="12"/>
        <v>0.27677284538005398</v>
      </c>
      <c r="K83" s="463">
        <f t="shared" si="12"/>
        <v>0.28315240102068939</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37"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1" t="s">
        <v>1782</v>
      </c>
      <c r="B1" s="416"/>
      <c r="C1" s="417" t="s">
        <v>422</v>
      </c>
      <c r="D1" s="417" t="s">
        <v>423</v>
      </c>
      <c r="E1" s="417" t="s">
        <v>424</v>
      </c>
      <c r="F1" s="417" t="s">
        <v>425</v>
      </c>
      <c r="G1" s="417" t="s">
        <v>426</v>
      </c>
      <c r="H1" s="417" t="s">
        <v>427</v>
      </c>
      <c r="I1" s="417" t="s">
        <v>428</v>
      </c>
      <c r="J1" s="417" t="s">
        <v>429</v>
      </c>
      <c r="K1" s="417" t="s">
        <v>751</v>
      </c>
    </row>
    <row r="2" spans="1:12" ht="36" x14ac:dyDescent="0.2">
      <c r="A2" s="230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2245088</v>
      </c>
      <c r="D5" s="1636">
        <v>405402</v>
      </c>
      <c r="E5" s="1623">
        <v>436654</v>
      </c>
      <c r="F5" s="1681">
        <v>122810</v>
      </c>
      <c r="G5" s="1623">
        <v>55962</v>
      </c>
      <c r="H5" s="1623"/>
      <c r="I5" s="1623">
        <v>30772</v>
      </c>
      <c r="J5" s="1624">
        <v>204550</v>
      </c>
      <c r="K5" s="1623">
        <v>30772</v>
      </c>
    </row>
    <row r="6" spans="1:12" ht="15" x14ac:dyDescent="0.2">
      <c r="A6" s="427" t="s">
        <v>1646</v>
      </c>
      <c r="B6" s="429">
        <v>1130</v>
      </c>
      <c r="C6" s="1623">
        <v>30772</v>
      </c>
      <c r="D6" s="1623"/>
      <c r="E6" s="1630"/>
      <c r="F6" s="1630"/>
      <c r="G6" s="1625"/>
      <c r="H6" s="1625"/>
      <c r="I6" s="1625"/>
      <c r="J6" s="1625"/>
      <c r="K6" s="1625"/>
    </row>
    <row r="7" spans="1:12" x14ac:dyDescent="0.2">
      <c r="A7" s="427" t="s">
        <v>110</v>
      </c>
      <c r="B7" s="471">
        <v>1140</v>
      </c>
      <c r="C7" s="1623">
        <v>24618</v>
      </c>
      <c r="D7" s="1623"/>
      <c r="E7" s="1625"/>
      <c r="F7" s="1624"/>
      <c r="G7" s="1624"/>
      <c r="H7" s="1624"/>
      <c r="I7" s="1625"/>
      <c r="J7" s="1625"/>
      <c r="K7" s="1625"/>
    </row>
    <row r="8" spans="1:12" x14ac:dyDescent="0.2">
      <c r="A8" s="427" t="s">
        <v>410</v>
      </c>
      <c r="B8" s="429">
        <v>1150</v>
      </c>
      <c r="C8" s="1630"/>
      <c r="D8" s="1630"/>
      <c r="E8" s="1632"/>
      <c r="F8" s="1632"/>
      <c r="G8" s="1636">
        <v>74355</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2300478</v>
      </c>
      <c r="D12" s="1683">
        <f t="shared" si="0"/>
        <v>405402</v>
      </c>
      <c r="E12" s="1683">
        <f t="shared" si="0"/>
        <v>436654</v>
      </c>
      <c r="F12" s="1683">
        <f t="shared" si="0"/>
        <v>122810</v>
      </c>
      <c r="G12" s="1683">
        <f t="shared" si="0"/>
        <v>130317</v>
      </c>
      <c r="H12" s="1683">
        <f t="shared" si="0"/>
        <v>0</v>
      </c>
      <c r="I12" s="1683">
        <f t="shared" si="0"/>
        <v>30772</v>
      </c>
      <c r="J12" s="1683">
        <f t="shared" si="0"/>
        <v>204550</v>
      </c>
      <c r="K12" s="1644">
        <f t="shared" si="0"/>
        <v>30772</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163882</v>
      </c>
      <c r="D16" s="1623"/>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163882</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v>99523</v>
      </c>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99523</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62934</v>
      </c>
      <c r="D65" s="1623">
        <v>11601</v>
      </c>
      <c r="E65" s="1623">
        <v>821</v>
      </c>
      <c r="F65" s="1624">
        <v>10375</v>
      </c>
      <c r="G65" s="1623">
        <v>2938</v>
      </c>
      <c r="H65" s="1623"/>
      <c r="I65" s="1623">
        <v>1883</v>
      </c>
      <c r="J65" s="1624">
        <v>1487</v>
      </c>
      <c r="K65" s="1623">
        <v>1075</v>
      </c>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62934</v>
      </c>
      <c r="D67" s="1644">
        <f t="shared" ref="D67:K67" si="2">SUM(D65:D66)</f>
        <v>11601</v>
      </c>
      <c r="E67" s="1644">
        <f t="shared" si="2"/>
        <v>821</v>
      </c>
      <c r="F67" s="1644">
        <f t="shared" si="2"/>
        <v>10375</v>
      </c>
      <c r="G67" s="1644">
        <f t="shared" si="2"/>
        <v>2938</v>
      </c>
      <c r="H67" s="1644">
        <f t="shared" si="2"/>
        <v>0</v>
      </c>
      <c r="I67" s="1644">
        <f t="shared" si="2"/>
        <v>1883</v>
      </c>
      <c r="J67" s="1644">
        <f t="shared" si="2"/>
        <v>1487</v>
      </c>
      <c r="K67" s="1644">
        <f t="shared" si="2"/>
        <v>1075</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v>44553</v>
      </c>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v>6994</v>
      </c>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51547</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21070</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21070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42405</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42405</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30059</v>
      </c>
      <c r="D95" s="1682"/>
      <c r="E95" s="1667"/>
      <c r="F95" s="1667"/>
      <c r="G95" s="1667"/>
      <c r="H95" s="1667"/>
      <c r="I95" s="1667"/>
      <c r="J95" s="1667"/>
      <c r="K95" s="1667"/>
    </row>
    <row r="96" spans="1:11" ht="12.75" customHeight="1" x14ac:dyDescent="0.2">
      <c r="A96" s="427" t="s">
        <v>388</v>
      </c>
      <c r="B96" s="429">
        <v>1920</v>
      </c>
      <c r="C96" s="1682">
        <v>750</v>
      </c>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c r="D100" s="1648">
        <v>13533</v>
      </c>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v>500</v>
      </c>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v>261</v>
      </c>
      <c r="D106" s="1648"/>
      <c r="E106" s="1624"/>
      <c r="F106" s="1624"/>
      <c r="G106" s="1624"/>
      <c r="H106" s="1624"/>
      <c r="I106" s="1667"/>
      <c r="J106" s="1624"/>
      <c r="K106" s="1624"/>
    </row>
    <row r="107" spans="1:12" ht="12.75" customHeight="1" x14ac:dyDescent="0.2">
      <c r="A107" s="427" t="s">
        <v>78</v>
      </c>
      <c r="B107" s="429">
        <v>1999</v>
      </c>
      <c r="C107" s="1682">
        <v>3040</v>
      </c>
      <c r="D107" s="1623">
        <v>5742</v>
      </c>
      <c r="E107" s="1623"/>
      <c r="F107" s="1623">
        <v>1607</v>
      </c>
      <c r="G107" s="1623"/>
      <c r="H107" s="1623"/>
      <c r="I107" s="1623"/>
      <c r="J107" s="1624"/>
      <c r="K107" s="1623"/>
    </row>
    <row r="108" spans="1:12" ht="12.75" customHeight="1" thickBot="1" x14ac:dyDescent="0.25">
      <c r="A108" s="1455" t="s">
        <v>484</v>
      </c>
      <c r="B108" s="1457"/>
      <c r="C108" s="1683">
        <f>SUM(C95:C107)</f>
        <v>34610</v>
      </c>
      <c r="D108" s="1683">
        <f t="shared" ref="D108:K108" si="3">SUM(D95:D107)</f>
        <v>19275</v>
      </c>
      <c r="E108" s="1683">
        <f t="shared" si="3"/>
        <v>0</v>
      </c>
      <c r="F108" s="1683">
        <f t="shared" si="3"/>
        <v>1607</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2776449</v>
      </c>
      <c r="D109" s="1691">
        <f t="shared" si="4"/>
        <v>436278</v>
      </c>
      <c r="E109" s="1691">
        <f t="shared" si="4"/>
        <v>437475</v>
      </c>
      <c r="F109" s="1691">
        <f t="shared" si="4"/>
        <v>134792</v>
      </c>
      <c r="G109" s="1691">
        <f t="shared" si="4"/>
        <v>133255</v>
      </c>
      <c r="H109" s="1691">
        <f t="shared" si="4"/>
        <v>0</v>
      </c>
      <c r="I109" s="1691">
        <f t="shared" si="4"/>
        <v>32655</v>
      </c>
      <c r="J109" s="1691">
        <f t="shared" si="4"/>
        <v>206037</v>
      </c>
      <c r="K109" s="1679">
        <f t="shared" si="4"/>
        <v>31847</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1381721</v>
      </c>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1381721</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11628</v>
      </c>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11628</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v>4410</v>
      </c>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v>6494</v>
      </c>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10904</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1143</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v>2770</v>
      </c>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44929</v>
      </c>
      <c r="G152" s="1624"/>
      <c r="H152" s="1625"/>
      <c r="I152" s="1625"/>
      <c r="J152" s="1625"/>
      <c r="K152" s="1625"/>
    </row>
    <row r="153" spans="1:11" ht="12.75" customHeight="1" x14ac:dyDescent="0.2">
      <c r="A153" s="427" t="s">
        <v>1050</v>
      </c>
      <c r="B153" s="478">
        <v>3510</v>
      </c>
      <c r="C153" s="1682"/>
      <c r="D153" s="1623"/>
      <c r="E153" s="1690"/>
      <c r="F153" s="1623">
        <v>60613</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105542</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v>26146</v>
      </c>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v>50000</v>
      </c>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321" t="s">
        <v>395</v>
      </c>
      <c r="B169" s="2322"/>
      <c r="C169" s="1708">
        <f t="shared" ref="C169:K169" si="6">SUM(C132,C141,C145,C146:C150,C155,C156:C167,C168)</f>
        <v>52591</v>
      </c>
      <c r="D169" s="1708">
        <f t="shared" si="6"/>
        <v>50000</v>
      </c>
      <c r="E169" s="1708">
        <f t="shared" si="6"/>
        <v>0</v>
      </c>
      <c r="F169" s="1708">
        <f t="shared" si="6"/>
        <v>105542</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1434312</v>
      </c>
      <c r="D170" s="1691">
        <f t="shared" si="7"/>
        <v>50000</v>
      </c>
      <c r="E170" s="1691">
        <f t="shared" si="7"/>
        <v>0</v>
      </c>
      <c r="F170" s="1691">
        <f t="shared" si="7"/>
        <v>105542</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3" t="s">
        <v>1478</v>
      </c>
      <c r="B172" s="2324"/>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327" t="s">
        <v>1649</v>
      </c>
      <c r="B175" s="2328"/>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1" t="s">
        <v>1648</v>
      </c>
      <c r="B176" s="2332"/>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329" t="s">
        <v>780</v>
      </c>
      <c r="B181" s="2330"/>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5" t="s">
        <v>1783</v>
      </c>
      <c r="B182" s="2326"/>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v>26682</v>
      </c>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26682</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57954</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v>15379</v>
      </c>
      <c r="D193" s="1625"/>
      <c r="E193" s="1690"/>
      <c r="F193" s="1625"/>
      <c r="G193" s="1714"/>
      <c r="H193" s="1625"/>
      <c r="I193" s="1625"/>
      <c r="J193" s="1625"/>
      <c r="K193" s="1625"/>
    </row>
    <row r="194" spans="1:11" ht="12.75" customHeight="1" x14ac:dyDescent="0.2">
      <c r="A194" s="427" t="s">
        <v>1437</v>
      </c>
      <c r="B194" s="429">
        <v>4225</v>
      </c>
      <c r="C194" s="1682">
        <v>23421</v>
      </c>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96754</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112161</v>
      </c>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112161</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v>1542</v>
      </c>
      <c r="D212" s="1623"/>
      <c r="E212" s="1625"/>
      <c r="F212" s="1623"/>
      <c r="G212" s="1623"/>
      <c r="H212" s="1625"/>
      <c r="I212" s="1625"/>
      <c r="J212" s="1625"/>
      <c r="K212" s="1625"/>
    </row>
    <row r="213" spans="1:11" ht="12.75" customHeight="1" x14ac:dyDescent="0.2">
      <c r="A213" s="427" t="s">
        <v>1440</v>
      </c>
      <c r="B213" s="475">
        <v>4620</v>
      </c>
      <c r="C213" s="1682">
        <v>220248</v>
      </c>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221790</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v>18552</v>
      </c>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c r="D263" s="1701"/>
      <c r="E263" s="1625"/>
      <c r="F263" s="1701"/>
      <c r="G263" s="1701"/>
      <c r="H263" s="1625"/>
      <c r="I263" s="1625"/>
      <c r="J263" s="1625"/>
      <c r="K263" s="1625"/>
    </row>
    <row r="264" spans="1:11" ht="12.75" customHeight="1" thickTop="1" thickBot="1" x14ac:dyDescent="0.25">
      <c r="A264" s="427" t="s">
        <v>374</v>
      </c>
      <c r="B264" s="429">
        <v>4992</v>
      </c>
      <c r="C264" s="1700">
        <v>21775</v>
      </c>
      <c r="D264" s="1701"/>
      <c r="E264" s="1625"/>
      <c r="F264" s="1701"/>
      <c r="G264" s="1701"/>
      <c r="H264" s="1625"/>
      <c r="I264" s="1625"/>
      <c r="J264" s="1625"/>
      <c r="K264" s="1625"/>
    </row>
    <row r="265" spans="1:11" s="489" customFormat="1" ht="12.75" customHeight="1" thickTop="1" thickBot="1" x14ac:dyDescent="0.25">
      <c r="A265" s="479" t="s">
        <v>75</v>
      </c>
      <c r="B265" s="475">
        <v>4998</v>
      </c>
      <c r="C265" s="1700">
        <v>11610</v>
      </c>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509324</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509324</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4720085</v>
      </c>
      <c r="D268" s="1691">
        <f t="shared" si="12"/>
        <v>486278</v>
      </c>
      <c r="E268" s="1691">
        <f t="shared" si="12"/>
        <v>437475</v>
      </c>
      <c r="F268" s="1691">
        <f t="shared" si="12"/>
        <v>240334</v>
      </c>
      <c r="G268" s="1691">
        <f t="shared" si="12"/>
        <v>133255</v>
      </c>
      <c r="H268" s="1691">
        <f t="shared" si="12"/>
        <v>0</v>
      </c>
      <c r="I268" s="1691">
        <f t="shared" si="12"/>
        <v>32655</v>
      </c>
      <c r="J268" s="1691">
        <f t="shared" si="12"/>
        <v>206037</v>
      </c>
      <c r="K268" s="1679">
        <f t="shared" si="12"/>
        <v>31847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12" activePane="bottomLeft" state="frozen"/>
      <selection pane="bottomLeft" activeCell="D277" sqref="D27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1"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9" t="s">
        <v>294</v>
      </c>
      <c r="B3" s="2340"/>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1501708</v>
      </c>
      <c r="D5" s="1623">
        <v>382354</v>
      </c>
      <c r="E5" s="1623">
        <v>14361</v>
      </c>
      <c r="F5" s="1623">
        <v>55780</v>
      </c>
      <c r="G5" s="1623"/>
      <c r="H5" s="1623">
        <v>1985</v>
      </c>
      <c r="I5" s="1624"/>
      <c r="J5" s="1624"/>
      <c r="K5" s="1722">
        <f>SUM(C5:J5)</f>
        <v>1956188</v>
      </c>
      <c r="L5" s="1623">
        <v>1887808</v>
      </c>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v>41822</v>
      </c>
      <c r="D7" s="1624">
        <v>11158</v>
      </c>
      <c r="E7" s="1624"/>
      <c r="F7" s="1624">
        <v>772</v>
      </c>
      <c r="G7" s="1624"/>
      <c r="H7" s="1624"/>
      <c r="I7" s="1624"/>
      <c r="J7" s="1624"/>
      <c r="K7" s="1722">
        <f t="shared" ref="K7:K32" si="0">SUM(C7:J7)</f>
        <v>53752</v>
      </c>
      <c r="L7" s="1623">
        <v>61300</v>
      </c>
    </row>
    <row r="8" spans="1:14" x14ac:dyDescent="0.2">
      <c r="A8" s="1319" t="s">
        <v>163</v>
      </c>
      <c r="B8" s="503">
        <v>1200</v>
      </c>
      <c r="C8" s="1623">
        <v>329408</v>
      </c>
      <c r="D8" s="1623">
        <v>98602</v>
      </c>
      <c r="E8" s="1623">
        <v>25599</v>
      </c>
      <c r="F8" s="1623">
        <v>5182</v>
      </c>
      <c r="G8" s="1623"/>
      <c r="H8" s="1623"/>
      <c r="I8" s="1624"/>
      <c r="J8" s="1624"/>
      <c r="K8" s="1722">
        <f t="shared" si="0"/>
        <v>458791</v>
      </c>
      <c r="L8" s="1623">
        <v>485264</v>
      </c>
    </row>
    <row r="9" spans="1:14" x14ac:dyDescent="0.2">
      <c r="A9" s="1319" t="s">
        <v>716</v>
      </c>
      <c r="B9" s="503" t="s">
        <v>962</v>
      </c>
      <c r="C9" s="1624">
        <v>67954</v>
      </c>
      <c r="D9" s="1624">
        <v>11984</v>
      </c>
      <c r="E9" s="1624"/>
      <c r="F9" s="1624">
        <v>229</v>
      </c>
      <c r="G9" s="1624"/>
      <c r="H9" s="1624">
        <v>15</v>
      </c>
      <c r="I9" s="1624"/>
      <c r="J9" s="1624"/>
      <c r="K9" s="1722">
        <f t="shared" si="0"/>
        <v>80182</v>
      </c>
      <c r="L9" s="1623">
        <v>75694</v>
      </c>
    </row>
    <row r="10" spans="1:14" x14ac:dyDescent="0.2">
      <c r="A10" s="1319" t="s">
        <v>717</v>
      </c>
      <c r="B10" s="503">
        <v>1250</v>
      </c>
      <c r="C10" s="1623">
        <v>29719</v>
      </c>
      <c r="D10" s="1623">
        <v>8664</v>
      </c>
      <c r="E10" s="1623">
        <v>6870</v>
      </c>
      <c r="F10" s="1623">
        <v>40384</v>
      </c>
      <c r="G10" s="1623"/>
      <c r="H10" s="1623">
        <v>2167</v>
      </c>
      <c r="I10" s="1624"/>
      <c r="J10" s="1624"/>
      <c r="K10" s="1722">
        <f t="shared" si="0"/>
        <v>87804</v>
      </c>
      <c r="L10" s="1623">
        <v>110243</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c r="D13" s="1623"/>
      <c r="E13" s="1623"/>
      <c r="F13" s="1623"/>
      <c r="G13" s="1623"/>
      <c r="H13" s="1623"/>
      <c r="I13" s="1624"/>
      <c r="J13" s="1624"/>
      <c r="K13" s="1722">
        <f t="shared" si="0"/>
        <v>0</v>
      </c>
      <c r="L13" s="1623"/>
    </row>
    <row r="14" spans="1:14" x14ac:dyDescent="0.2">
      <c r="A14" s="1319" t="s">
        <v>957</v>
      </c>
      <c r="B14" s="503">
        <v>1500</v>
      </c>
      <c r="C14" s="1623">
        <v>75161</v>
      </c>
      <c r="D14" s="1623">
        <v>8750</v>
      </c>
      <c r="E14" s="1623">
        <v>22700</v>
      </c>
      <c r="F14" s="1623">
        <v>24335</v>
      </c>
      <c r="G14" s="1623"/>
      <c r="H14" s="1623">
        <v>10705</v>
      </c>
      <c r="I14" s="1624"/>
      <c r="J14" s="1624"/>
      <c r="K14" s="1722">
        <f t="shared" si="0"/>
        <v>141651</v>
      </c>
      <c r="L14" s="1623">
        <v>140000</v>
      </c>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v>8993</v>
      </c>
      <c r="D17" s="1624">
        <v>2474</v>
      </c>
      <c r="E17" s="1624"/>
      <c r="F17" s="1624"/>
      <c r="G17" s="1624"/>
      <c r="H17" s="1624"/>
      <c r="I17" s="1624"/>
      <c r="J17" s="1624"/>
      <c r="K17" s="1722">
        <f t="shared" si="0"/>
        <v>11467</v>
      </c>
      <c r="L17" s="1623">
        <v>11150</v>
      </c>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2054765</v>
      </c>
      <c r="D33" s="1724">
        <f t="shared" ref="D33:L33" si="1">SUM(D5:D32)</f>
        <v>523986</v>
      </c>
      <c r="E33" s="1724">
        <f t="shared" si="1"/>
        <v>69530</v>
      </c>
      <c r="F33" s="1724">
        <f t="shared" si="1"/>
        <v>126682</v>
      </c>
      <c r="G33" s="1724">
        <f t="shared" si="1"/>
        <v>0</v>
      </c>
      <c r="H33" s="1724">
        <f t="shared" si="1"/>
        <v>14872</v>
      </c>
      <c r="I33" s="1724">
        <f t="shared" si="1"/>
        <v>0</v>
      </c>
      <c r="J33" s="1724">
        <f t="shared" si="1"/>
        <v>0</v>
      </c>
      <c r="K33" s="1724">
        <f t="shared" si="1"/>
        <v>2789835</v>
      </c>
      <c r="L33" s="1724">
        <f t="shared" si="1"/>
        <v>2771459</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51882</v>
      </c>
      <c r="D36" s="1636">
        <v>12291</v>
      </c>
      <c r="E36" s="1636">
        <v>359</v>
      </c>
      <c r="F36" s="1636">
        <v>5262</v>
      </c>
      <c r="G36" s="1636"/>
      <c r="H36" s="1636"/>
      <c r="I36" s="1624"/>
      <c r="J36" s="1624"/>
      <c r="K36" s="1722">
        <f t="shared" ref="K36:K41" si="2">SUM(C36:J36)</f>
        <v>69794</v>
      </c>
      <c r="L36" s="1623">
        <v>65059</v>
      </c>
    </row>
    <row r="37" spans="1:14" x14ac:dyDescent="0.2">
      <c r="A37" s="1319" t="s">
        <v>1083</v>
      </c>
      <c r="B37" s="503">
        <v>2120</v>
      </c>
      <c r="C37" s="1623">
        <v>53095</v>
      </c>
      <c r="D37" s="1623">
        <v>12768</v>
      </c>
      <c r="E37" s="1623">
        <v>222</v>
      </c>
      <c r="F37" s="1623">
        <v>5296</v>
      </c>
      <c r="G37" s="1623"/>
      <c r="H37" s="1623">
        <v>405</v>
      </c>
      <c r="I37" s="1624"/>
      <c r="J37" s="1624"/>
      <c r="K37" s="1722">
        <f t="shared" si="2"/>
        <v>71786</v>
      </c>
      <c r="L37" s="1623">
        <v>64878</v>
      </c>
    </row>
    <row r="38" spans="1:14" x14ac:dyDescent="0.2">
      <c r="A38" s="1319" t="s">
        <v>196</v>
      </c>
      <c r="B38" s="503">
        <v>2130</v>
      </c>
      <c r="C38" s="1623"/>
      <c r="D38" s="1623"/>
      <c r="E38" s="1623">
        <v>1481</v>
      </c>
      <c r="F38" s="1623"/>
      <c r="G38" s="1623"/>
      <c r="H38" s="1623"/>
      <c r="I38" s="1624"/>
      <c r="J38" s="1624"/>
      <c r="K38" s="1722">
        <f t="shared" si="2"/>
        <v>1481</v>
      </c>
      <c r="L38" s="1623">
        <v>4800</v>
      </c>
    </row>
    <row r="39" spans="1:14" x14ac:dyDescent="0.2">
      <c r="A39" s="1319" t="s">
        <v>197</v>
      </c>
      <c r="B39" s="503">
        <v>2140</v>
      </c>
      <c r="C39" s="1623"/>
      <c r="D39" s="1623"/>
      <c r="E39" s="1623">
        <v>39621</v>
      </c>
      <c r="F39" s="1623"/>
      <c r="G39" s="1623"/>
      <c r="H39" s="1623"/>
      <c r="I39" s="1624"/>
      <c r="J39" s="1624"/>
      <c r="K39" s="1722">
        <f t="shared" si="2"/>
        <v>39621</v>
      </c>
      <c r="L39" s="1623">
        <v>45000</v>
      </c>
    </row>
    <row r="40" spans="1:14" x14ac:dyDescent="0.2">
      <c r="A40" s="1319" t="s">
        <v>198</v>
      </c>
      <c r="B40" s="503">
        <v>2150</v>
      </c>
      <c r="C40" s="1623"/>
      <c r="D40" s="1623"/>
      <c r="E40" s="1623">
        <v>64866</v>
      </c>
      <c r="F40" s="1623"/>
      <c r="G40" s="1623"/>
      <c r="H40" s="1623"/>
      <c r="I40" s="1624"/>
      <c r="J40" s="1624"/>
      <c r="K40" s="1722">
        <f t="shared" si="2"/>
        <v>64866</v>
      </c>
      <c r="L40" s="1623">
        <v>72000</v>
      </c>
    </row>
    <row r="41" spans="1:14" x14ac:dyDescent="0.2">
      <c r="A41" s="1319" t="s">
        <v>1653</v>
      </c>
      <c r="B41" s="503">
        <v>2190</v>
      </c>
      <c r="C41" s="1623"/>
      <c r="D41" s="1623"/>
      <c r="E41" s="1623"/>
      <c r="F41" s="1623"/>
      <c r="G41" s="1623"/>
      <c r="H41" s="1623"/>
      <c r="I41" s="1624"/>
      <c r="J41" s="1624"/>
      <c r="K41" s="1722">
        <f t="shared" si="2"/>
        <v>0</v>
      </c>
      <c r="L41" s="1623"/>
    </row>
    <row r="42" spans="1:14" ht="12.75" customHeight="1" thickBot="1" x14ac:dyDescent="0.25">
      <c r="A42" s="1429" t="s">
        <v>556</v>
      </c>
      <c r="B42" s="1430" t="s">
        <v>711</v>
      </c>
      <c r="C42" s="1724">
        <f>SUM(C36:C41)</f>
        <v>104977</v>
      </c>
      <c r="D42" s="1724">
        <f t="shared" ref="D42:L42" si="3">SUM(D36:D41)</f>
        <v>25059</v>
      </c>
      <c r="E42" s="1724">
        <f t="shared" si="3"/>
        <v>106549</v>
      </c>
      <c r="F42" s="1724">
        <f t="shared" si="3"/>
        <v>10558</v>
      </c>
      <c r="G42" s="1724">
        <f t="shared" si="3"/>
        <v>0</v>
      </c>
      <c r="H42" s="1724">
        <f t="shared" si="3"/>
        <v>405</v>
      </c>
      <c r="I42" s="1724">
        <f t="shared" si="3"/>
        <v>0</v>
      </c>
      <c r="J42" s="1724">
        <f t="shared" si="3"/>
        <v>0</v>
      </c>
      <c r="K42" s="1724">
        <f t="shared" si="3"/>
        <v>247548</v>
      </c>
      <c r="L42" s="1724">
        <f t="shared" si="3"/>
        <v>251737</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11140</v>
      </c>
      <c r="D44" s="1636">
        <v>4327</v>
      </c>
      <c r="E44" s="1636">
        <v>4671</v>
      </c>
      <c r="F44" s="1636">
        <v>9871</v>
      </c>
      <c r="G44" s="1636"/>
      <c r="H44" s="1636">
        <v>3502</v>
      </c>
      <c r="I44" s="1624"/>
      <c r="J44" s="1624"/>
      <c r="K44" s="1728">
        <f>SUM(C44:J44)</f>
        <v>33511</v>
      </c>
      <c r="L44" s="1636">
        <v>23500</v>
      </c>
    </row>
    <row r="45" spans="1:14" x14ac:dyDescent="0.2">
      <c r="A45" s="1319" t="s">
        <v>810</v>
      </c>
      <c r="B45" s="503">
        <v>2220</v>
      </c>
      <c r="C45" s="1623">
        <v>2941</v>
      </c>
      <c r="D45" s="1623"/>
      <c r="E45" s="1623"/>
      <c r="F45" s="1623">
        <v>22480</v>
      </c>
      <c r="G45" s="1623"/>
      <c r="H45" s="1623"/>
      <c r="I45" s="1624"/>
      <c r="J45" s="1624"/>
      <c r="K45" s="1728">
        <f>SUM(C45:J45)</f>
        <v>25421</v>
      </c>
      <c r="L45" s="1623">
        <v>85528</v>
      </c>
    </row>
    <row r="46" spans="1:14" x14ac:dyDescent="0.2">
      <c r="A46" s="1319" t="s">
        <v>811</v>
      </c>
      <c r="B46" s="503">
        <v>2230</v>
      </c>
      <c r="C46" s="1623"/>
      <c r="D46" s="1623"/>
      <c r="E46" s="1623"/>
      <c r="F46" s="1623"/>
      <c r="G46" s="1623"/>
      <c r="H46" s="1623"/>
      <c r="I46" s="1624"/>
      <c r="J46" s="1624"/>
      <c r="K46" s="1728">
        <f>SUM(C46:J46)</f>
        <v>0</v>
      </c>
      <c r="L46" s="1623"/>
    </row>
    <row r="47" spans="1:14" ht="12.75" customHeight="1" thickBot="1" x14ac:dyDescent="0.25">
      <c r="A47" s="1429" t="s">
        <v>557</v>
      </c>
      <c r="B47" s="1430" t="s">
        <v>32</v>
      </c>
      <c r="C47" s="1724">
        <f>SUM(C44:C46)</f>
        <v>14081</v>
      </c>
      <c r="D47" s="1724">
        <f t="shared" ref="D47:K47" si="4">SUM(D44:D46)</f>
        <v>4327</v>
      </c>
      <c r="E47" s="1724">
        <f t="shared" si="4"/>
        <v>4671</v>
      </c>
      <c r="F47" s="1724">
        <f t="shared" si="4"/>
        <v>32351</v>
      </c>
      <c r="G47" s="1724">
        <f t="shared" si="4"/>
        <v>0</v>
      </c>
      <c r="H47" s="1724">
        <f t="shared" si="4"/>
        <v>3502</v>
      </c>
      <c r="I47" s="1724">
        <f t="shared" si="4"/>
        <v>0</v>
      </c>
      <c r="J47" s="1724">
        <f t="shared" si="4"/>
        <v>0</v>
      </c>
      <c r="K47" s="1724">
        <f t="shared" si="4"/>
        <v>58932</v>
      </c>
      <c r="L47" s="1724">
        <f>SUM(L44:L46)</f>
        <v>109028</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8281</v>
      </c>
      <c r="D49" s="1636">
        <v>25317</v>
      </c>
      <c r="E49" s="1636">
        <v>35067</v>
      </c>
      <c r="F49" s="1636">
        <v>3595</v>
      </c>
      <c r="G49" s="1636"/>
      <c r="H49" s="1636">
        <v>9175</v>
      </c>
      <c r="I49" s="1624"/>
      <c r="J49" s="1624"/>
      <c r="K49" s="1728">
        <f>SUM(C49:J49)</f>
        <v>81435</v>
      </c>
      <c r="L49" s="1636">
        <v>55050</v>
      </c>
    </row>
    <row r="50" spans="1:14" x14ac:dyDescent="0.2">
      <c r="A50" s="1319" t="s">
        <v>813</v>
      </c>
      <c r="B50" s="503">
        <v>2320</v>
      </c>
      <c r="C50" s="1623">
        <v>119223</v>
      </c>
      <c r="D50" s="1623">
        <v>32055</v>
      </c>
      <c r="E50" s="1623">
        <v>228</v>
      </c>
      <c r="F50" s="1623">
        <v>4832</v>
      </c>
      <c r="G50" s="1623"/>
      <c r="H50" s="1623">
        <v>1293</v>
      </c>
      <c r="I50" s="1624"/>
      <c r="J50" s="1624"/>
      <c r="K50" s="1728">
        <f>SUM(C50:J50)</f>
        <v>157631</v>
      </c>
      <c r="L50" s="1623">
        <v>157920</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127504</v>
      </c>
      <c r="D53" s="1724">
        <f t="shared" ref="D53:L53" si="5">SUM(D49:D52)</f>
        <v>57372</v>
      </c>
      <c r="E53" s="1724">
        <f t="shared" si="5"/>
        <v>35295</v>
      </c>
      <c r="F53" s="1724">
        <f t="shared" si="5"/>
        <v>8427</v>
      </c>
      <c r="G53" s="1724">
        <f t="shared" si="5"/>
        <v>0</v>
      </c>
      <c r="H53" s="1724">
        <f t="shared" si="5"/>
        <v>10468</v>
      </c>
      <c r="I53" s="1724">
        <f t="shared" si="5"/>
        <v>0</v>
      </c>
      <c r="J53" s="1724">
        <f t="shared" si="5"/>
        <v>0</v>
      </c>
      <c r="K53" s="1724">
        <f t="shared" si="5"/>
        <v>239066</v>
      </c>
      <c r="L53" s="1724">
        <f t="shared" si="5"/>
        <v>212970</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180485</v>
      </c>
      <c r="D55" s="1636">
        <v>49898</v>
      </c>
      <c r="E55" s="1636">
        <v>1086</v>
      </c>
      <c r="F55" s="1636">
        <v>7353</v>
      </c>
      <c r="G55" s="1636"/>
      <c r="H55" s="1636">
        <v>451</v>
      </c>
      <c r="I55" s="1624"/>
      <c r="J55" s="1624"/>
      <c r="K55" s="1728">
        <f>SUM(C55:J55)</f>
        <v>239273</v>
      </c>
      <c r="L55" s="1636">
        <v>234226</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180485</v>
      </c>
      <c r="D57" s="1729">
        <f t="shared" ref="D57:K57" si="6">SUM(D55:D56)</f>
        <v>49898</v>
      </c>
      <c r="E57" s="1729">
        <f t="shared" si="6"/>
        <v>1086</v>
      </c>
      <c r="F57" s="1729">
        <f t="shared" si="6"/>
        <v>7353</v>
      </c>
      <c r="G57" s="1729">
        <f t="shared" si="6"/>
        <v>0</v>
      </c>
      <c r="H57" s="1729">
        <f t="shared" si="6"/>
        <v>451</v>
      </c>
      <c r="I57" s="1729">
        <f t="shared" si="6"/>
        <v>0</v>
      </c>
      <c r="J57" s="1729">
        <f t="shared" si="6"/>
        <v>0</v>
      </c>
      <c r="K57" s="1729">
        <f t="shared" si="6"/>
        <v>239273</v>
      </c>
      <c r="L57" s="1724">
        <f>SUM(L55:L56)</f>
        <v>234226</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83363</v>
      </c>
      <c r="D60" s="1623">
        <v>7081</v>
      </c>
      <c r="E60" s="1623">
        <v>356</v>
      </c>
      <c r="F60" s="1623">
        <v>1011</v>
      </c>
      <c r="G60" s="1623"/>
      <c r="H60" s="1623"/>
      <c r="I60" s="1624"/>
      <c r="J60" s="1624"/>
      <c r="K60" s="1728">
        <f t="shared" si="7"/>
        <v>91811</v>
      </c>
      <c r="L60" s="1623">
        <v>102300</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83333</v>
      </c>
      <c r="D63" s="1623">
        <v>29329</v>
      </c>
      <c r="E63" s="1623"/>
      <c r="F63" s="1623">
        <f>85912-25470</f>
        <v>60442</v>
      </c>
      <c r="G63" s="1623"/>
      <c r="H63" s="1623">
        <v>751</v>
      </c>
      <c r="I63" s="1624"/>
      <c r="J63" s="1624"/>
      <c r="K63" s="1728">
        <f t="shared" si="7"/>
        <v>173855</v>
      </c>
      <c r="L63" s="1623">
        <v>190567</v>
      </c>
    </row>
    <row r="64" spans="1:14" s="501" customFormat="1" x14ac:dyDescent="0.2">
      <c r="A64" s="1324" t="s">
        <v>101</v>
      </c>
      <c r="B64" s="513">
        <v>2570</v>
      </c>
      <c r="C64" s="1636"/>
      <c r="D64" s="1636"/>
      <c r="E64" s="1636">
        <v>17542</v>
      </c>
      <c r="F64" s="1636"/>
      <c r="G64" s="1636"/>
      <c r="H64" s="1636">
        <v>90</v>
      </c>
      <c r="I64" s="1624"/>
      <c r="J64" s="1624"/>
      <c r="K64" s="1728">
        <f t="shared" si="7"/>
        <v>17632</v>
      </c>
      <c r="L64" s="1636">
        <v>16824</v>
      </c>
    </row>
    <row r="65" spans="1:14" s="321" customFormat="1" ht="12.75" customHeight="1" thickBot="1" x14ac:dyDescent="0.25">
      <c r="A65" s="1429" t="s">
        <v>714</v>
      </c>
      <c r="B65" s="1430" t="s">
        <v>35</v>
      </c>
      <c r="C65" s="1724">
        <f>SUM(C59:C64)</f>
        <v>166696</v>
      </c>
      <c r="D65" s="1724">
        <f t="shared" ref="D65:L65" si="8">SUM(D59:D64)</f>
        <v>36410</v>
      </c>
      <c r="E65" s="1724">
        <f t="shared" si="8"/>
        <v>17898</v>
      </c>
      <c r="F65" s="1724">
        <f t="shared" si="8"/>
        <v>61453</v>
      </c>
      <c r="G65" s="1724">
        <f t="shared" si="8"/>
        <v>0</v>
      </c>
      <c r="H65" s="1724">
        <f t="shared" si="8"/>
        <v>841</v>
      </c>
      <c r="I65" s="1724">
        <f t="shared" si="8"/>
        <v>0</v>
      </c>
      <c r="J65" s="1724">
        <f t="shared" si="8"/>
        <v>0</v>
      </c>
      <c r="K65" s="1724">
        <f t="shared" si="8"/>
        <v>283298</v>
      </c>
      <c r="L65" s="1724">
        <f t="shared" si="8"/>
        <v>309691</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v>26957</v>
      </c>
      <c r="D71" s="1623">
        <v>322</v>
      </c>
      <c r="E71" s="1623">
        <v>35908</v>
      </c>
      <c r="F71" s="1623">
        <v>75126</v>
      </c>
      <c r="G71" s="1623"/>
      <c r="H71" s="1623">
        <v>350</v>
      </c>
      <c r="I71" s="1624"/>
      <c r="J71" s="1624"/>
      <c r="K71" s="1728">
        <f>SUM(C71:J71)</f>
        <v>138663</v>
      </c>
      <c r="L71" s="1623">
        <v>232944</v>
      </c>
      <c r="M71" s="501"/>
      <c r="N71" s="501"/>
    </row>
    <row r="72" spans="1:14" s="321" customFormat="1" ht="12.75" customHeight="1" thickBot="1" x14ac:dyDescent="0.25">
      <c r="A72" s="1429" t="s">
        <v>37</v>
      </c>
      <c r="B72" s="1432" t="s">
        <v>36</v>
      </c>
      <c r="C72" s="1724">
        <f>SUM(C67:C71)</f>
        <v>26957</v>
      </c>
      <c r="D72" s="1724">
        <f t="shared" ref="D72:K72" si="9">SUM(D67:D71)</f>
        <v>322</v>
      </c>
      <c r="E72" s="1724">
        <f t="shared" si="9"/>
        <v>35908</v>
      </c>
      <c r="F72" s="1724">
        <f t="shared" si="9"/>
        <v>75126</v>
      </c>
      <c r="G72" s="1724">
        <f t="shared" si="9"/>
        <v>0</v>
      </c>
      <c r="H72" s="1724">
        <f t="shared" si="9"/>
        <v>350</v>
      </c>
      <c r="I72" s="1724">
        <f t="shared" si="9"/>
        <v>0</v>
      </c>
      <c r="J72" s="1724">
        <f t="shared" si="9"/>
        <v>0</v>
      </c>
      <c r="K72" s="1724">
        <f t="shared" si="9"/>
        <v>138663</v>
      </c>
      <c r="L72" s="1724">
        <f>SUM(L67:L71)</f>
        <v>232944</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620700</v>
      </c>
      <c r="D74" s="1731">
        <f t="shared" ref="D74:K74" si="10">SUM(D42,D47,D53,D57,D65,D72,D73)</f>
        <v>173388</v>
      </c>
      <c r="E74" s="1731">
        <f t="shared" si="10"/>
        <v>201407</v>
      </c>
      <c r="F74" s="1731">
        <f t="shared" si="10"/>
        <v>195268</v>
      </c>
      <c r="G74" s="1731">
        <f t="shared" si="10"/>
        <v>0</v>
      </c>
      <c r="H74" s="1731">
        <f t="shared" si="10"/>
        <v>16017</v>
      </c>
      <c r="I74" s="1731">
        <f t="shared" si="10"/>
        <v>0</v>
      </c>
      <c r="J74" s="1731">
        <f t="shared" si="10"/>
        <v>0</v>
      </c>
      <c r="K74" s="1731">
        <f t="shared" si="10"/>
        <v>1206780</v>
      </c>
      <c r="L74" s="1731">
        <f>SUM(L42,L47,L53,L57,L65,L72,L73)</f>
        <v>1350596</v>
      </c>
    </row>
    <row r="75" spans="1:14" s="254" customFormat="1" ht="15.75" customHeight="1" thickTop="1" thickBot="1" x14ac:dyDescent="0.25">
      <c r="A75" s="1393" t="s">
        <v>47</v>
      </c>
      <c r="B75" s="1394" t="s">
        <v>571</v>
      </c>
      <c r="C75" s="1699">
        <v>24381</v>
      </c>
      <c r="D75" s="1699">
        <v>7061</v>
      </c>
      <c r="E75" s="1699">
        <v>1000</v>
      </c>
      <c r="F75" s="1699"/>
      <c r="G75" s="1699"/>
      <c r="H75" s="1699"/>
      <c r="I75" s="1677"/>
      <c r="J75" s="1677"/>
      <c r="K75" s="1724">
        <f>SUM(C75:J75)</f>
        <v>32442</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v>59904</v>
      </c>
      <c r="F79" s="1723"/>
      <c r="G79" s="1723"/>
      <c r="H79" s="1623">
        <v>28160</v>
      </c>
      <c r="I79" s="1632"/>
      <c r="J79" s="1632"/>
      <c r="K79" s="1722">
        <f t="shared" si="11"/>
        <v>88064</v>
      </c>
      <c r="L79" s="1623">
        <v>115000</v>
      </c>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59904</v>
      </c>
      <c r="F84" s="1723"/>
      <c r="G84" s="1723"/>
      <c r="H84" s="1724">
        <f>SUM(H78:H83)</f>
        <v>28160</v>
      </c>
      <c r="I84" s="1632"/>
      <c r="J84" s="1632"/>
      <c r="K84" s="1724">
        <f>SUM(K78:K83)</f>
        <v>88064</v>
      </c>
      <c r="L84" s="1724">
        <f>SUM(L78:L83)</f>
        <v>115000</v>
      </c>
    </row>
    <row r="85" spans="1:12" ht="12.75" customHeight="1" thickTop="1" thickBot="1" x14ac:dyDescent="0.25">
      <c r="A85" s="1326" t="s">
        <v>253</v>
      </c>
      <c r="B85" s="517">
        <v>4210</v>
      </c>
      <c r="C85" s="1723"/>
      <c r="D85" s="1723"/>
      <c r="E85" s="1733"/>
      <c r="F85" s="1723"/>
      <c r="G85" s="1723"/>
      <c r="H85" s="1680">
        <v>830</v>
      </c>
      <c r="I85" s="1632"/>
      <c r="J85" s="1632"/>
      <c r="K85" s="1731">
        <f>H85</f>
        <v>830</v>
      </c>
      <c r="L85" s="1676"/>
    </row>
    <row r="86" spans="1:12" ht="12.75" customHeight="1" thickTop="1" thickBot="1" x14ac:dyDescent="0.25">
      <c r="A86" s="1327" t="s">
        <v>694</v>
      </c>
      <c r="B86" s="518">
        <v>4220</v>
      </c>
      <c r="C86" s="1723"/>
      <c r="D86" s="1723"/>
      <c r="E86" s="1734"/>
      <c r="F86" s="1723"/>
      <c r="G86" s="1723"/>
      <c r="H86" s="1624">
        <v>33129</v>
      </c>
      <c r="I86" s="1632"/>
      <c r="J86" s="1632"/>
      <c r="K86" s="1731">
        <f t="shared" ref="K86:K98" si="12">H86</f>
        <v>33129</v>
      </c>
      <c r="L86" s="1676">
        <v>59000</v>
      </c>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v>42753</v>
      </c>
      <c r="I88" s="1632"/>
      <c r="J88" s="1632"/>
      <c r="K88" s="1731">
        <f t="shared" si="12"/>
        <v>42753</v>
      </c>
      <c r="L88" s="1676">
        <v>45000</v>
      </c>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76712</v>
      </c>
      <c r="I92" s="1632"/>
      <c r="J92" s="1632"/>
      <c r="K92" s="1731">
        <f t="shared" si="12"/>
        <v>76712</v>
      </c>
      <c r="L92" s="1724">
        <f>SUM(L85:L91)</f>
        <v>104000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59904</v>
      </c>
      <c r="F102" s="1723"/>
      <c r="G102" s="1723"/>
      <c r="H102" s="1731">
        <f>SUM(H84,H92,H100,H101)</f>
        <v>104872</v>
      </c>
      <c r="I102" s="1632"/>
      <c r="J102" s="1632"/>
      <c r="K102" s="1731">
        <f>SUM(K84,K92,K100,K101)</f>
        <v>164776</v>
      </c>
      <c r="L102" s="1731">
        <f>SUM(L84,L92,L100,L101)</f>
        <v>219000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2699846</v>
      </c>
      <c r="D114" s="1724">
        <f t="shared" ref="D114:K114" si="13">SUM(D33,D74,D75,D102,D112,D113)</f>
        <v>704435</v>
      </c>
      <c r="E114" s="1724">
        <f t="shared" si="13"/>
        <v>331841</v>
      </c>
      <c r="F114" s="1724">
        <f t="shared" si="13"/>
        <v>321950</v>
      </c>
      <c r="G114" s="1724">
        <f t="shared" si="13"/>
        <v>0</v>
      </c>
      <c r="H114" s="1724">
        <f>SUM(H33,H74,H75,H102,H112,H113)</f>
        <v>135761</v>
      </c>
      <c r="I114" s="1724">
        <f t="shared" si="13"/>
        <v>0</v>
      </c>
      <c r="J114" s="1724">
        <f t="shared" si="13"/>
        <v>0</v>
      </c>
      <c r="K114" s="1724">
        <f t="shared" si="13"/>
        <v>4193833</v>
      </c>
      <c r="L114" s="1724">
        <f>SUM(L33,L74,L75,L102,L112,L113)</f>
        <v>4341055</v>
      </c>
    </row>
    <row r="115" spans="1:14" ht="13.5" thickTop="1" x14ac:dyDescent="0.2">
      <c r="A115" s="2358" t="s">
        <v>989</v>
      </c>
      <c r="B115" s="2359"/>
      <c r="C115" s="1725"/>
      <c r="D115" s="1725"/>
      <c r="E115" s="1725"/>
      <c r="F115" s="1725"/>
      <c r="G115" s="1725"/>
      <c r="H115" s="1725"/>
      <c r="I115" s="1725"/>
      <c r="J115" s="1725"/>
      <c r="K115" s="1739">
        <f>'Revenues 9-14'!C268-'Expenditures 15-22'!K114</f>
        <v>526252</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6" t="s">
        <v>293</v>
      </c>
      <c r="B117" s="2337"/>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v>130052</v>
      </c>
      <c r="D124" s="1623">
        <v>23695</v>
      </c>
      <c r="E124" s="1623">
        <v>112600</v>
      </c>
      <c r="F124" s="1623">
        <v>129396</v>
      </c>
      <c r="G124" s="1623">
        <v>43831</v>
      </c>
      <c r="H124" s="1623">
        <v>300</v>
      </c>
      <c r="I124" s="1624"/>
      <c r="J124" s="1624"/>
      <c r="K124" s="1724">
        <f>SUM(C124:J124)</f>
        <v>439874</v>
      </c>
      <c r="L124" s="1623">
        <v>427001</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130052</v>
      </c>
      <c r="D127" s="1724">
        <f t="shared" ref="D127:L127" si="14">SUM(D122:D126)</f>
        <v>23695</v>
      </c>
      <c r="E127" s="1724">
        <f t="shared" si="14"/>
        <v>112600</v>
      </c>
      <c r="F127" s="1724">
        <f t="shared" si="14"/>
        <v>129396</v>
      </c>
      <c r="G127" s="1724">
        <f t="shared" si="14"/>
        <v>43831</v>
      </c>
      <c r="H127" s="1724">
        <f t="shared" si="14"/>
        <v>300</v>
      </c>
      <c r="I127" s="1724">
        <f t="shared" si="14"/>
        <v>0</v>
      </c>
      <c r="J127" s="1724">
        <f t="shared" si="14"/>
        <v>0</v>
      </c>
      <c r="K127" s="1724">
        <f t="shared" si="14"/>
        <v>439874</v>
      </c>
      <c r="L127" s="1724">
        <f t="shared" si="14"/>
        <v>427001</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130052</v>
      </c>
      <c r="D129" s="1731">
        <f t="shared" ref="D129:L129" si="15">SUM(D120,D127,D128)</f>
        <v>23695</v>
      </c>
      <c r="E129" s="1731">
        <f t="shared" si="15"/>
        <v>112600</v>
      </c>
      <c r="F129" s="1731">
        <f t="shared" si="15"/>
        <v>129396</v>
      </c>
      <c r="G129" s="1731">
        <f t="shared" si="15"/>
        <v>43831</v>
      </c>
      <c r="H129" s="1731">
        <f t="shared" si="15"/>
        <v>300</v>
      </c>
      <c r="I129" s="1731">
        <f t="shared" si="15"/>
        <v>0</v>
      </c>
      <c r="J129" s="1731">
        <f t="shared" si="15"/>
        <v>0</v>
      </c>
      <c r="K129" s="1731">
        <f t="shared" si="15"/>
        <v>439874</v>
      </c>
      <c r="L129" s="1731">
        <f t="shared" si="15"/>
        <v>427001</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348" t="s">
        <v>616</v>
      </c>
      <c r="B151" s="2330"/>
      <c r="C151" s="1724">
        <f>SUM(C129,C130,C139,C149,C150)</f>
        <v>130052</v>
      </c>
      <c r="D151" s="1724">
        <f t="shared" ref="D151:K151" si="16">SUM(D129,D130,D139,D149,D150)</f>
        <v>23695</v>
      </c>
      <c r="E151" s="1724">
        <f t="shared" si="16"/>
        <v>112600</v>
      </c>
      <c r="F151" s="1724">
        <f t="shared" si="16"/>
        <v>129396</v>
      </c>
      <c r="G151" s="1724">
        <f t="shared" si="16"/>
        <v>43831</v>
      </c>
      <c r="H151" s="1724">
        <f t="shared" si="16"/>
        <v>300</v>
      </c>
      <c r="I151" s="1724">
        <f t="shared" si="16"/>
        <v>0</v>
      </c>
      <c r="J151" s="1724">
        <f t="shared" si="16"/>
        <v>0</v>
      </c>
      <c r="K151" s="1724">
        <f t="shared" si="16"/>
        <v>439874</v>
      </c>
      <c r="L151" s="1724">
        <f>SUM(L129,L130,L139,L149,L150)</f>
        <v>427001</v>
      </c>
    </row>
    <row r="152" spans="1:14" ht="12.75" customHeight="1" thickTop="1" x14ac:dyDescent="0.2">
      <c r="A152" s="2351" t="s">
        <v>1170</v>
      </c>
      <c r="B152" s="2352"/>
      <c r="C152" s="1725"/>
      <c r="D152" s="1725"/>
      <c r="E152" s="1725"/>
      <c r="F152" s="1725"/>
      <c r="G152" s="1725"/>
      <c r="H152" s="1725"/>
      <c r="I152" s="1725"/>
      <c r="J152" s="1723"/>
      <c r="K152" s="1739">
        <f>'Revenues 9-14'!D268-'Expenditures 15-22'!K151</f>
        <v>46404</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6" t="s">
        <v>617</v>
      </c>
      <c r="B154" s="2338"/>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74625</v>
      </c>
      <c r="I169" s="1723"/>
      <c r="J169" s="1723"/>
      <c r="K169" s="1722">
        <f>SUM(C169:H169)</f>
        <v>74625</v>
      </c>
      <c r="L169" s="1745">
        <v>74623</v>
      </c>
    </row>
    <row r="170" spans="1:14" ht="33.75" customHeight="1" x14ac:dyDescent="0.2">
      <c r="A170" s="543" t="s">
        <v>1654</v>
      </c>
      <c r="B170" s="545" t="s">
        <v>31</v>
      </c>
      <c r="C170" s="1723"/>
      <c r="D170" s="1723"/>
      <c r="E170" s="1723"/>
      <c r="F170" s="1723"/>
      <c r="G170" s="1723"/>
      <c r="H170" s="1696">
        <v>365000</v>
      </c>
      <c r="I170" s="1723"/>
      <c r="J170" s="1723"/>
      <c r="K170" s="1722">
        <f>SUM(C170:J170)</f>
        <v>365000</v>
      </c>
      <c r="L170" s="1696">
        <v>365000</v>
      </c>
    </row>
    <row r="171" spans="1:14" ht="15.75" customHeight="1" x14ac:dyDescent="0.2">
      <c r="A171" s="507" t="s">
        <v>761</v>
      </c>
      <c r="B171" s="546" t="s">
        <v>84</v>
      </c>
      <c r="C171" s="1723"/>
      <c r="D171" s="1723"/>
      <c r="E171" s="1623"/>
      <c r="F171" s="1723"/>
      <c r="G171" s="1723"/>
      <c r="H171" s="1696">
        <v>1425</v>
      </c>
      <c r="I171" s="1632"/>
      <c r="J171" s="1723"/>
      <c r="K171" s="1722">
        <f>SUM(C171:J171)</f>
        <v>1425</v>
      </c>
      <c r="L171" s="1696">
        <v>925</v>
      </c>
    </row>
    <row r="172" spans="1:14" ht="12.75" customHeight="1" thickBot="1" x14ac:dyDescent="0.25">
      <c r="A172" s="1429" t="s">
        <v>633</v>
      </c>
      <c r="B172" s="1430" t="s">
        <v>489</v>
      </c>
      <c r="C172" s="1723"/>
      <c r="D172" s="1723"/>
      <c r="E172" s="1731">
        <f>SUM(E168,E169,E170,E171)</f>
        <v>0</v>
      </c>
      <c r="F172" s="1723"/>
      <c r="G172" s="1723"/>
      <c r="H172" s="1731">
        <f>SUM(H168,H169,H170,H171)</f>
        <v>441050</v>
      </c>
      <c r="I172" s="1734"/>
      <c r="J172" s="1723"/>
      <c r="K172" s="1731">
        <f>SUM(K168,K169,K170,K171)</f>
        <v>441050</v>
      </c>
      <c r="L172" s="1731">
        <f>SUM(L168,L169,L170,L171)</f>
        <v>440548</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441050</v>
      </c>
      <c r="I174" s="1734"/>
      <c r="J174" s="1723"/>
      <c r="K174" s="1731">
        <f>SUM(K160,K172,K173)</f>
        <v>441050</v>
      </c>
      <c r="L174" s="1731">
        <f>SUM(L160,L172,L173)</f>
        <v>440548</v>
      </c>
    </row>
    <row r="175" spans="1:14" ht="13.5" thickTop="1" x14ac:dyDescent="0.2">
      <c r="A175" s="2358" t="s">
        <v>989</v>
      </c>
      <c r="B175" s="2359"/>
      <c r="C175" s="1723"/>
      <c r="D175" s="1723"/>
      <c r="E175" s="1723"/>
      <c r="F175" s="1723"/>
      <c r="G175" s="1723"/>
      <c r="H175" s="1725"/>
      <c r="I175" s="1723"/>
      <c r="J175" s="1723"/>
      <c r="K175" s="1739">
        <f>'Revenues 9-14'!E268-'Expenditures 15-22'!K174</f>
        <v>-3575</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95677</v>
      </c>
      <c r="D182" s="1623">
        <v>11</v>
      </c>
      <c r="E182" s="1623">
        <v>34625</v>
      </c>
      <c r="F182" s="1623">
        <v>17943</v>
      </c>
      <c r="G182" s="1623">
        <v>13049</v>
      </c>
      <c r="H182" s="1623">
        <v>352</v>
      </c>
      <c r="I182" s="1624"/>
      <c r="J182" s="1624"/>
      <c r="K182" s="1722">
        <f>SUM(C182:J182)</f>
        <v>161657</v>
      </c>
      <c r="L182" s="1623">
        <v>167841</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95677</v>
      </c>
      <c r="D184" s="1731">
        <f t="shared" ref="D184:J184" si="17">SUM(D180,D182,D183)</f>
        <v>11</v>
      </c>
      <c r="E184" s="1731">
        <f t="shared" si="17"/>
        <v>34625</v>
      </c>
      <c r="F184" s="1731">
        <f t="shared" si="17"/>
        <v>17943</v>
      </c>
      <c r="G184" s="1731">
        <f t="shared" si="17"/>
        <v>13049</v>
      </c>
      <c r="H184" s="1731">
        <f t="shared" si="17"/>
        <v>352</v>
      </c>
      <c r="I184" s="1731">
        <f t="shared" si="17"/>
        <v>0</v>
      </c>
      <c r="J184" s="1731">
        <f t="shared" si="17"/>
        <v>0</v>
      </c>
      <c r="K184" s="1731">
        <f>SUM(K180,K182,K183)</f>
        <v>161657</v>
      </c>
      <c r="L184" s="1731">
        <f>SUM(L180, L182:L183)</f>
        <v>167841</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95677</v>
      </c>
      <c r="D210" s="1724">
        <f>SUM(D184,D185)</f>
        <v>11</v>
      </c>
      <c r="E210" s="1724">
        <f>SUM(E184,E185,E196)</f>
        <v>34625</v>
      </c>
      <c r="F210" s="1724">
        <f>SUM(F184,F185)</f>
        <v>17943</v>
      </c>
      <c r="G210" s="1724">
        <f>SUM(G184,G185)</f>
        <v>13049</v>
      </c>
      <c r="H210" s="1724">
        <f>SUM(H184,H185,H196,H208,H209)</f>
        <v>352</v>
      </c>
      <c r="I210" s="1724">
        <f>SUM(I184,I185)</f>
        <v>0</v>
      </c>
      <c r="J210" s="1724">
        <f>SUM(J184,J185)</f>
        <v>0</v>
      </c>
      <c r="K210" s="1722">
        <f>SUM(K184,K185,K196,K208,K209)</f>
        <v>161657</v>
      </c>
      <c r="L210" s="1724">
        <f>SUM(L184,L185,L196,L208,L209)</f>
        <v>167841</v>
      </c>
    </row>
    <row r="211" spans="1:14" ht="13.5" thickTop="1" x14ac:dyDescent="0.2">
      <c r="A211" s="2358" t="s">
        <v>989</v>
      </c>
      <c r="B211" s="2359"/>
      <c r="C211" s="1725"/>
      <c r="D211" s="1725"/>
      <c r="E211" s="1725"/>
      <c r="F211" s="1725"/>
      <c r="G211" s="1725"/>
      <c r="H211" s="1725"/>
      <c r="I211" s="1723"/>
      <c r="J211" s="1723"/>
      <c r="K211" s="1739">
        <f>'Revenues 9-14'!F268-'Expenditures 15-22'!K210</f>
        <v>78677</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3" t="s">
        <v>959</v>
      </c>
      <c r="B213" s="2354"/>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21137</v>
      </c>
      <c r="E215" s="1723"/>
      <c r="F215" s="1723"/>
      <c r="G215" s="1723"/>
      <c r="H215" s="1723"/>
      <c r="I215" s="1723"/>
      <c r="J215" s="1723"/>
      <c r="K215" s="1722">
        <f>D215</f>
        <v>21137</v>
      </c>
      <c r="L215" s="1623">
        <v>22660</v>
      </c>
    </row>
    <row r="216" spans="1:14" x14ac:dyDescent="0.2">
      <c r="A216" s="1319" t="s">
        <v>162</v>
      </c>
      <c r="B216" s="503" t="s">
        <v>961</v>
      </c>
      <c r="C216" s="1723"/>
      <c r="D216" s="1624">
        <v>1010</v>
      </c>
      <c r="E216" s="1723"/>
      <c r="F216" s="1723"/>
      <c r="G216" s="1723"/>
      <c r="H216" s="1723"/>
      <c r="I216" s="1723"/>
      <c r="J216" s="1723"/>
      <c r="K216" s="1722">
        <f t="shared" ref="K216:K228" si="19">D216</f>
        <v>1010</v>
      </c>
      <c r="L216" s="1623"/>
    </row>
    <row r="217" spans="1:14" x14ac:dyDescent="0.2">
      <c r="A217" s="1319" t="s">
        <v>163</v>
      </c>
      <c r="B217" s="503">
        <v>1200</v>
      </c>
      <c r="C217" s="1723"/>
      <c r="D217" s="1623">
        <v>19808</v>
      </c>
      <c r="E217" s="1723"/>
      <c r="F217" s="1723"/>
      <c r="G217" s="1723"/>
      <c r="H217" s="1723"/>
      <c r="I217" s="1723"/>
      <c r="J217" s="1723"/>
      <c r="K217" s="1722">
        <f t="shared" si="19"/>
        <v>19808</v>
      </c>
      <c r="L217" s="1623">
        <v>21630</v>
      </c>
    </row>
    <row r="218" spans="1:14" x14ac:dyDescent="0.2">
      <c r="A218" s="1319" t="s">
        <v>276</v>
      </c>
      <c r="B218" s="503" t="s">
        <v>962</v>
      </c>
      <c r="C218" s="1723"/>
      <c r="D218" s="1624">
        <v>4785</v>
      </c>
      <c r="E218" s="1723"/>
      <c r="F218" s="1723"/>
      <c r="G218" s="1723"/>
      <c r="H218" s="1723"/>
      <c r="I218" s="1723"/>
      <c r="J218" s="1723"/>
      <c r="K218" s="1722">
        <f t="shared" si="19"/>
        <v>4785</v>
      </c>
      <c r="L218" s="1623">
        <v>3605</v>
      </c>
    </row>
    <row r="219" spans="1:14" x14ac:dyDescent="0.2">
      <c r="A219" s="1319" t="s">
        <v>277</v>
      </c>
      <c r="B219" s="503">
        <v>1250</v>
      </c>
      <c r="C219" s="1723"/>
      <c r="D219" s="1623">
        <v>2629</v>
      </c>
      <c r="E219" s="1723"/>
      <c r="F219" s="1723"/>
      <c r="G219" s="1723"/>
      <c r="H219" s="1723"/>
      <c r="I219" s="1723"/>
      <c r="J219" s="1723"/>
      <c r="K219" s="1722">
        <f t="shared" si="19"/>
        <v>2629</v>
      </c>
      <c r="L219" s="1623"/>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v>2952</v>
      </c>
      <c r="E223" s="1723"/>
      <c r="F223" s="1723"/>
      <c r="G223" s="1723"/>
      <c r="H223" s="1723"/>
      <c r="I223" s="1723"/>
      <c r="J223" s="1723"/>
      <c r="K223" s="1722">
        <f t="shared" si="19"/>
        <v>2952</v>
      </c>
      <c r="L223" s="1623">
        <v>4000</v>
      </c>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v>130</v>
      </c>
      <c r="E226" s="1723"/>
      <c r="F226" s="1723"/>
      <c r="G226" s="1723"/>
      <c r="H226" s="1723"/>
      <c r="I226" s="1723"/>
      <c r="J226" s="1723"/>
      <c r="K226" s="1722">
        <f t="shared" si="19"/>
        <v>130</v>
      </c>
      <c r="L226" s="1623">
        <v>200</v>
      </c>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52451</v>
      </c>
      <c r="E229" s="1723"/>
      <c r="F229" s="1723"/>
      <c r="G229" s="1723"/>
      <c r="H229" s="1723"/>
      <c r="I229" s="1723"/>
      <c r="J229" s="1723"/>
      <c r="K229" s="1724">
        <f>SUM(K215:K228)</f>
        <v>52451</v>
      </c>
      <c r="L229" s="1724">
        <f>SUM(L215:L228)</f>
        <v>52095</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712</v>
      </c>
      <c r="E232" s="1723"/>
      <c r="F232" s="1723"/>
      <c r="G232" s="1723"/>
      <c r="H232" s="1723"/>
      <c r="I232" s="1723"/>
      <c r="J232" s="1723"/>
      <c r="K232" s="1722">
        <f t="shared" ref="K232:K237" si="20">D232</f>
        <v>712</v>
      </c>
      <c r="L232" s="1623">
        <v>800</v>
      </c>
    </row>
    <row r="233" spans="1:12" x14ac:dyDescent="0.2">
      <c r="A233" s="1319" t="s">
        <v>1083</v>
      </c>
      <c r="B233" s="503">
        <v>2120</v>
      </c>
      <c r="C233" s="1723"/>
      <c r="D233" s="1623">
        <v>726</v>
      </c>
      <c r="E233" s="1723"/>
      <c r="F233" s="1723"/>
      <c r="G233" s="1723"/>
      <c r="H233" s="1723"/>
      <c r="I233" s="1723"/>
      <c r="J233" s="1723"/>
      <c r="K233" s="1722">
        <f t="shared" si="20"/>
        <v>726</v>
      </c>
      <c r="L233" s="1623">
        <v>800</v>
      </c>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1438</v>
      </c>
      <c r="E238" s="1723"/>
      <c r="F238" s="1723"/>
      <c r="G238" s="1723"/>
      <c r="H238" s="1723"/>
      <c r="I238" s="1723"/>
      <c r="J238" s="1723"/>
      <c r="K238" s="1724">
        <f>SUM(K232:K237)</f>
        <v>1438</v>
      </c>
      <c r="L238" s="1724">
        <f>SUM(L232:L237)</f>
        <v>1600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550</v>
      </c>
      <c r="E240" s="1723"/>
      <c r="F240" s="1723"/>
      <c r="G240" s="1723"/>
      <c r="H240" s="1723"/>
      <c r="I240" s="1723"/>
      <c r="J240" s="1723"/>
      <c r="K240" s="1728">
        <f>D240</f>
        <v>550</v>
      </c>
      <c r="L240" s="1636">
        <v>800</v>
      </c>
    </row>
    <row r="241" spans="1:12" x14ac:dyDescent="0.2">
      <c r="A241" s="1319" t="s">
        <v>810</v>
      </c>
      <c r="B241" s="503">
        <v>2220</v>
      </c>
      <c r="C241" s="1723"/>
      <c r="D241" s="1623">
        <v>225</v>
      </c>
      <c r="E241" s="1723"/>
      <c r="F241" s="1723"/>
      <c r="G241" s="1723"/>
      <c r="H241" s="1723"/>
      <c r="I241" s="1723"/>
      <c r="J241" s="1723"/>
      <c r="K241" s="1728">
        <f>D241</f>
        <v>225</v>
      </c>
      <c r="L241" s="1623">
        <v>400</v>
      </c>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775</v>
      </c>
      <c r="E243" s="1723"/>
      <c r="F243" s="1723"/>
      <c r="G243" s="1723"/>
      <c r="H243" s="1723"/>
      <c r="I243" s="1723"/>
      <c r="J243" s="1723"/>
      <c r="K243" s="1724">
        <f>SUM(K240:K242)</f>
        <v>775</v>
      </c>
      <c r="L243" s="1724">
        <f>SUM(L240:L242)</f>
        <v>1200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584</v>
      </c>
      <c r="E245" s="1723"/>
      <c r="F245" s="1723"/>
      <c r="G245" s="1723"/>
      <c r="H245" s="1723"/>
      <c r="I245" s="1723"/>
      <c r="J245" s="1723"/>
      <c r="K245" s="1728">
        <f>D245</f>
        <v>584</v>
      </c>
      <c r="L245" s="1636">
        <v>700</v>
      </c>
    </row>
    <row r="246" spans="1:12" x14ac:dyDescent="0.2">
      <c r="A246" s="1319" t="s">
        <v>813</v>
      </c>
      <c r="B246" s="503">
        <v>2320</v>
      </c>
      <c r="C246" s="1723"/>
      <c r="D246" s="1623">
        <v>1789</v>
      </c>
      <c r="E246" s="1723"/>
      <c r="F246" s="1723"/>
      <c r="G246" s="1723"/>
      <c r="H246" s="1723"/>
      <c r="I246" s="1723"/>
      <c r="J246" s="1723"/>
      <c r="K246" s="1728">
        <f t="shared" ref="K246:K256" si="21">D246</f>
        <v>1789</v>
      </c>
      <c r="L246" s="1623">
        <v>1700</v>
      </c>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2373</v>
      </c>
      <c r="E257" s="1723"/>
      <c r="F257" s="1723"/>
      <c r="G257" s="1723"/>
      <c r="H257" s="1723"/>
      <c r="I257" s="1723"/>
      <c r="J257" s="1723"/>
      <c r="K257" s="1724">
        <f>SUM(K245:K256)</f>
        <v>2373</v>
      </c>
      <c r="L257" s="1724">
        <f>SUM(L245:L256)</f>
        <v>2400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6872</v>
      </c>
      <c r="E259" s="1723"/>
      <c r="F259" s="1723"/>
      <c r="G259" s="1723"/>
      <c r="H259" s="1723"/>
      <c r="I259" s="1723"/>
      <c r="J259" s="1723"/>
      <c r="K259" s="1728">
        <f>D259</f>
        <v>6872</v>
      </c>
      <c r="L259" s="1636">
        <v>8652</v>
      </c>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6872</v>
      </c>
      <c r="E261" s="1723"/>
      <c r="F261" s="1723"/>
      <c r="G261" s="1723"/>
      <c r="H261" s="1723"/>
      <c r="I261" s="1723"/>
      <c r="J261" s="1723"/>
      <c r="K261" s="1724">
        <f>SUM(K259:K260)</f>
        <v>6872</v>
      </c>
      <c r="L261" s="1724">
        <f>SUM(L259:L260)</f>
        <v>8652</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v>11680</v>
      </c>
      <c r="E264" s="1723"/>
      <c r="F264" s="1723"/>
      <c r="G264" s="1723"/>
      <c r="H264" s="1723"/>
      <c r="I264" s="1723"/>
      <c r="J264" s="1723"/>
      <c r="K264" s="1728">
        <f t="shared" ref="K264:K269" si="22">D264</f>
        <v>11680</v>
      </c>
      <c r="L264" s="1623">
        <v>8240</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17196</v>
      </c>
      <c r="E266" s="1723"/>
      <c r="F266" s="1723"/>
      <c r="G266" s="1723"/>
      <c r="H266" s="1723"/>
      <c r="I266" s="1723"/>
      <c r="J266" s="1723"/>
      <c r="K266" s="1728">
        <f t="shared" si="22"/>
        <v>17196</v>
      </c>
      <c r="L266" s="1623">
        <v>18540</v>
      </c>
    </row>
    <row r="267" spans="1:14" x14ac:dyDescent="0.2">
      <c r="A267" s="1319" t="s">
        <v>947</v>
      </c>
      <c r="B267" s="503">
        <v>2550</v>
      </c>
      <c r="C267" s="1723"/>
      <c r="D267" s="1623">
        <v>9668</v>
      </c>
      <c r="E267" s="1723"/>
      <c r="F267" s="1723"/>
      <c r="G267" s="1723"/>
      <c r="H267" s="1723"/>
      <c r="I267" s="1723"/>
      <c r="J267" s="1723"/>
      <c r="K267" s="1728">
        <f t="shared" si="22"/>
        <v>9668</v>
      </c>
      <c r="L267" s="1623">
        <v>8240</v>
      </c>
    </row>
    <row r="268" spans="1:14" x14ac:dyDescent="0.2">
      <c r="A268" s="1319" t="s">
        <v>100</v>
      </c>
      <c r="B268" s="503">
        <v>2560</v>
      </c>
      <c r="C268" s="1723"/>
      <c r="D268" s="1623">
        <v>9525</v>
      </c>
      <c r="E268" s="1723"/>
      <c r="F268" s="1723"/>
      <c r="G268" s="1723"/>
      <c r="H268" s="1723"/>
      <c r="I268" s="1723"/>
      <c r="J268" s="1723"/>
      <c r="K268" s="1728">
        <f t="shared" si="22"/>
        <v>9525</v>
      </c>
      <c r="L268" s="1623">
        <v>9270</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48069</v>
      </c>
      <c r="E270" s="1723"/>
      <c r="F270" s="1723"/>
      <c r="G270" s="1723"/>
      <c r="H270" s="1723"/>
      <c r="I270" s="1723"/>
      <c r="J270" s="1723"/>
      <c r="K270" s="1724">
        <f>SUM(K263:K269)</f>
        <v>48069</v>
      </c>
      <c r="L270" s="1724">
        <f>SUM(L263:L269)</f>
        <v>44290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v>391</v>
      </c>
      <c r="E276" s="1723"/>
      <c r="F276" s="1723"/>
      <c r="G276" s="1723"/>
      <c r="H276" s="1723"/>
      <c r="I276" s="1723"/>
      <c r="J276" s="1723"/>
      <c r="K276" s="1728">
        <f>D276</f>
        <v>391</v>
      </c>
      <c r="L276" s="1623">
        <v>1240</v>
      </c>
    </row>
    <row r="277" spans="1:12" ht="12.75" customHeight="1" thickBot="1" x14ac:dyDescent="0.25">
      <c r="A277" s="1442" t="s">
        <v>37</v>
      </c>
      <c r="B277" s="1430" t="s">
        <v>36</v>
      </c>
      <c r="C277" s="1723"/>
      <c r="D277" s="1724">
        <f>SUM(D272:D276)</f>
        <v>391</v>
      </c>
      <c r="E277" s="1723"/>
      <c r="F277" s="1723"/>
      <c r="G277" s="1723"/>
      <c r="H277" s="1723"/>
      <c r="I277" s="1723"/>
      <c r="J277" s="1723"/>
      <c r="K277" s="1724">
        <f>SUM(K272:K276)</f>
        <v>391</v>
      </c>
      <c r="L277" s="1724">
        <f>SUM(L272:L276)</f>
        <v>1240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59918</v>
      </c>
      <c r="E279" s="1723"/>
      <c r="F279" s="1723"/>
      <c r="G279" s="1723"/>
      <c r="H279" s="1723"/>
      <c r="I279" s="1723"/>
      <c r="J279" s="1723"/>
      <c r="K279" s="1731">
        <f>SUM(K238,K243,K257,K261,K270,K277,K278)</f>
        <v>59918</v>
      </c>
      <c r="L279" s="1731">
        <f>SUM(L238,L243,L257,L261,L270,L277,L278)</f>
        <v>59382</v>
      </c>
    </row>
    <row r="280" spans="1:12" ht="15.75" customHeight="1" thickTop="1" thickBot="1" x14ac:dyDescent="0.25">
      <c r="A280" s="1407" t="s">
        <v>870</v>
      </c>
      <c r="B280" s="1396">
        <v>3000</v>
      </c>
      <c r="C280" s="1723"/>
      <c r="D280" s="1701">
        <v>3227</v>
      </c>
      <c r="E280" s="1723"/>
      <c r="F280" s="1723"/>
      <c r="G280" s="1723"/>
      <c r="H280" s="1723"/>
      <c r="I280" s="1723"/>
      <c r="J280" s="1723"/>
      <c r="K280" s="1737">
        <f>D280</f>
        <v>3227</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349" t="s">
        <v>502</v>
      </c>
      <c r="B295" s="2350"/>
      <c r="C295" s="1723"/>
      <c r="D295" s="1724">
        <f>SUM(D229,D279,D280,D285)</f>
        <v>115596</v>
      </c>
      <c r="E295" s="1723"/>
      <c r="F295" s="1723"/>
      <c r="G295" s="1723"/>
      <c r="H295" s="1724">
        <f>H293</f>
        <v>0</v>
      </c>
      <c r="I295" s="1723"/>
      <c r="J295" s="1723"/>
      <c r="K295" s="1724">
        <f>SUM(K229,K279,K280,K285,K293,K294)</f>
        <v>115596</v>
      </c>
      <c r="L295" s="1724">
        <f>SUM(L229,L279,L280,L285,L293,L294)</f>
        <v>111477</v>
      </c>
    </row>
    <row r="296" spans="1:14" ht="13.5" thickTop="1" x14ac:dyDescent="0.2">
      <c r="A296" s="2358" t="s">
        <v>989</v>
      </c>
      <c r="B296" s="2359"/>
      <c r="C296" s="1723"/>
      <c r="D296" s="1725"/>
      <c r="E296" s="1723"/>
      <c r="F296" s="1723"/>
      <c r="G296" s="1723"/>
      <c r="H296" s="1757"/>
      <c r="I296" s="1723"/>
      <c r="J296" s="1723"/>
      <c r="K296" s="1739">
        <f>'Revenues 9-14'!G268-'Expenditures 15-22'!K295</f>
        <v>17659</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1" t="s">
        <v>142</v>
      </c>
      <c r="B298" s="2335"/>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346" t="s">
        <v>275</v>
      </c>
      <c r="B312" s="2347"/>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2" t="s">
        <v>989</v>
      </c>
      <c r="B313" s="2343"/>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5" t="s">
        <v>148</v>
      </c>
      <c r="B315" s="2356"/>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7" t="s">
        <v>892</v>
      </c>
      <c r="B317" s="2356"/>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v>983</v>
      </c>
      <c r="E320" s="1624"/>
      <c r="F320" s="1624"/>
      <c r="G320" s="1624"/>
      <c r="H320" s="1624"/>
      <c r="I320" s="1624"/>
      <c r="J320" s="1624"/>
      <c r="K320" s="1722">
        <f t="shared" ref="K320:K327" si="24">SUM(C320:J320)</f>
        <v>983</v>
      </c>
      <c r="L320" s="1624">
        <v>200</v>
      </c>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v>59838</v>
      </c>
      <c r="E322" s="1624"/>
      <c r="F322" s="1624"/>
      <c r="G322" s="1624"/>
      <c r="H322" s="1624"/>
      <c r="I322" s="1624"/>
      <c r="J322" s="1624"/>
      <c r="K322" s="1722">
        <f t="shared" si="24"/>
        <v>59838</v>
      </c>
      <c r="L322" s="1624">
        <v>60000</v>
      </c>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v>2501</v>
      </c>
      <c r="E324" s="1624"/>
      <c r="F324" s="1624"/>
      <c r="G324" s="1624"/>
      <c r="H324" s="1624"/>
      <c r="I324" s="1624"/>
      <c r="J324" s="1624"/>
      <c r="K324" s="1722">
        <f t="shared" si="24"/>
        <v>2501</v>
      </c>
      <c r="L324" s="1624"/>
      <c r="M324" s="539"/>
      <c r="N324" s="539"/>
    </row>
    <row r="325" spans="1:14" s="548" customFormat="1" ht="22.5" x14ac:dyDescent="0.2">
      <c r="A325" s="1334" t="s">
        <v>1022</v>
      </c>
      <c r="B325" s="568" t="s">
        <v>285</v>
      </c>
      <c r="C325" s="1624">
        <v>47733</v>
      </c>
      <c r="D325" s="1624">
        <v>12852</v>
      </c>
      <c r="E325" s="1624">
        <v>3830</v>
      </c>
      <c r="F325" s="1624"/>
      <c r="G325" s="1624">
        <v>9176</v>
      </c>
      <c r="H325" s="1624"/>
      <c r="I325" s="1624"/>
      <c r="J325" s="1624"/>
      <c r="K325" s="1722">
        <f t="shared" si="24"/>
        <v>73591</v>
      </c>
      <c r="L325" s="1624">
        <v>86000</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v>13628</v>
      </c>
      <c r="E327" s="1624"/>
      <c r="F327" s="1624"/>
      <c r="G327" s="1624"/>
      <c r="H327" s="1624"/>
      <c r="I327" s="1624"/>
      <c r="J327" s="1624"/>
      <c r="K327" s="1722">
        <f t="shared" si="24"/>
        <v>13628</v>
      </c>
      <c r="L327" s="1624">
        <v>25000</v>
      </c>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47733</v>
      </c>
      <c r="D330" s="1724">
        <f t="shared" ref="D330:J330" si="25">SUM(D319:D329)</f>
        <v>89802</v>
      </c>
      <c r="E330" s="1724">
        <f t="shared" si="25"/>
        <v>3830</v>
      </c>
      <c r="F330" s="1724">
        <f t="shared" si="25"/>
        <v>0</v>
      </c>
      <c r="G330" s="1724">
        <f t="shared" si="25"/>
        <v>9176</v>
      </c>
      <c r="H330" s="1724">
        <f t="shared" si="25"/>
        <v>0</v>
      </c>
      <c r="I330" s="1724">
        <f t="shared" si="25"/>
        <v>0</v>
      </c>
      <c r="J330" s="1724">
        <f t="shared" si="25"/>
        <v>0</v>
      </c>
      <c r="K330" s="1724">
        <f>SUM(K319:K329)</f>
        <v>150541</v>
      </c>
      <c r="L330" s="1724">
        <f>SUM(L319:L329)</f>
        <v>171200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47733</v>
      </c>
      <c r="D342" s="1724">
        <f>SUM(D330)</f>
        <v>89802</v>
      </c>
      <c r="E342" s="1724">
        <f>SUM(E330)</f>
        <v>3830</v>
      </c>
      <c r="F342" s="1724">
        <f>SUM(F330)</f>
        <v>0</v>
      </c>
      <c r="G342" s="1724">
        <f>SUM(G330)</f>
        <v>9176</v>
      </c>
      <c r="H342" s="1724">
        <f>SUM(H330,H334,H340)</f>
        <v>0</v>
      </c>
      <c r="I342" s="1724">
        <f>SUM(I330)</f>
        <v>0</v>
      </c>
      <c r="J342" s="1724">
        <f>SUM(J330)</f>
        <v>0</v>
      </c>
      <c r="K342" s="1724">
        <f>SUM(K330,K334,K340)</f>
        <v>150541</v>
      </c>
      <c r="L342" s="1731">
        <f>SUM(L330,L334,L340,L341)</f>
        <v>171200</v>
      </c>
    </row>
    <row r="343" spans="1:14" ht="12.75" customHeight="1" thickTop="1" x14ac:dyDescent="0.2">
      <c r="A343" s="2344" t="s">
        <v>989</v>
      </c>
      <c r="B343" s="2345"/>
      <c r="C343" s="1723"/>
      <c r="D343" s="1723"/>
      <c r="E343" s="1723"/>
      <c r="F343" s="1723"/>
      <c r="G343" s="1723"/>
      <c r="H343" s="1723"/>
      <c r="I343" s="1723"/>
      <c r="J343" s="1723"/>
      <c r="K343" s="1739">
        <f>'Revenues 9-14'!J268-'Expenditures 15-22'!K342</f>
        <v>55496</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4" t="s">
        <v>960</v>
      </c>
      <c r="B345" s="2335"/>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358" t="s">
        <v>989</v>
      </c>
      <c r="B368" s="2359"/>
      <c r="C368" s="1744"/>
      <c r="D368" s="1744"/>
      <c r="E368" s="1727"/>
      <c r="F368" s="1727"/>
      <c r="G368" s="1727"/>
      <c r="H368" s="1727"/>
      <c r="I368" s="1727"/>
      <c r="J368" s="1726"/>
      <c r="K368" s="1722">
        <f>'Revenues 9-14'!K268-'Expenditures 15-22'!K367</f>
        <v>31847</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openxmlformats.org/package/2006/metadata/core-properties"/>
    <ds:schemaRef ds:uri="http://schemas.microsoft.com/sharepoint/v3"/>
    <ds:schemaRef ds:uri="http://purl.org/dc/elements/1.1/"/>
    <ds:schemaRef ds:uri="d21dc803-237d-4c68-8692-8d731fd29118"/>
    <ds:schemaRef ds:uri="http://purl.org/dc/dcmitype/"/>
    <ds:schemaRef ds:uri="http://purl.org/dc/terms/"/>
    <ds:schemaRef ds:uri="http://schemas.microsoft.com/office/2006/documentManagement/types"/>
    <ds:schemaRef ds:uri="6ce3111e-7420-4802-b50a-75d4e9a0b980"/>
    <ds:schemaRef ds:uri="http://schemas.microsoft.com/office/infopath/2007/PartnerControls"/>
    <ds:schemaRef ds:uri="4d435f69-8686-490b-bd6d-b153bf22ab5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2020-10-01T14:47:12Z</cp:lastPrinted>
  <dcterms:created xsi:type="dcterms:W3CDTF">2003-10-29T19:06:34Z</dcterms:created>
  <dcterms:modified xsi:type="dcterms:W3CDTF">2020-10-02T18:01:21Z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