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53811B8-133A-41C6-A91D-ED466370B48D}"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5" i="8" l="1"/>
  <c r="J33" i="8"/>
  <c r="J32" i="8"/>
  <c r="J31" i="8"/>
  <c r="J63" i="184" l="1"/>
  <c r="G63" i="184"/>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D22" i="37"/>
  <c r="L22" i="37"/>
  <c r="D24" i="37"/>
  <c r="B4270" i="106" s="1"/>
  <c r="D4270" i="106" s="1"/>
  <c r="D69" i="36" l="1"/>
  <c r="F50" i="34"/>
  <c r="B7047" i="106"/>
  <c r="D7047" i="106" s="1"/>
  <c r="F42" i="34"/>
  <c r="H33" i="118"/>
  <c r="G14" i="4"/>
  <c r="B2609" i="106" s="1"/>
  <c r="D2609" i="106" s="1"/>
  <c r="B7078" i="106"/>
  <c r="D7078" i="106" s="1"/>
  <c r="F52" i="34"/>
  <c r="B7831" i="106" s="1"/>
  <c r="D7831" i="106" s="1"/>
  <c r="D14" i="4"/>
  <c r="B2570" i="106" s="1"/>
  <c r="D2570" i="106" s="1"/>
  <c r="G35" i="108"/>
  <c r="B2805" i="106"/>
  <c r="D2805" i="106" s="1"/>
  <c r="H365" i="29"/>
  <c r="B7242" i="106" s="1"/>
  <c r="D7242" i="106" s="1"/>
  <c r="B2724" i="106"/>
  <c r="D2724" i="106" s="1"/>
  <c r="D36" i="108"/>
  <c r="B6995" i="106"/>
  <c r="D6995"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L16" i="11"/>
  <c r="B2061" i="106" s="1"/>
  <c r="D2061" i="106" s="1"/>
  <c r="C151" i="29"/>
  <c r="B1226" i="106" s="1"/>
  <c r="D1226" i="106" s="1"/>
  <c r="C367" i="29"/>
  <c r="B3622" i="106" s="1"/>
  <c r="D3622" i="106" s="1"/>
  <c r="M63" i="184"/>
  <c r="M68" i="184" s="1"/>
  <c r="J16" i="4"/>
  <c r="B6226" i="106" s="1"/>
  <c r="D6226" i="106" s="1"/>
  <c r="I151" i="29"/>
  <c r="F59" i="34"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63" i="184" l="1"/>
  <c r="N68" i="184" s="1"/>
  <c r="B7051" i="106"/>
  <c r="D7051" i="106" s="1"/>
  <c r="B1145" i="106"/>
  <c r="D1145" i="106" s="1"/>
  <c r="B7224" i="106"/>
  <c r="D7224"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H24" i="118"/>
  <c r="K24" i="118" s="1"/>
  <c r="O23" i="118" s="1"/>
  <c r="O25" i="118" s="1"/>
  <c r="E13" i="3"/>
  <c r="B131" i="106" s="1"/>
  <c r="D131" i="106" s="1"/>
  <c r="B3411" i="106"/>
  <c r="D341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<sst xmlns="http://schemas.openxmlformats.org/spreadsheetml/2006/main" count="5169" uniqueCount="2089">
  <si>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</si>
  <si>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</si>
  <si>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</si>
  <si>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</si>
  <si>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</si>
  <si>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</si>
  <si>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</si>
  <si>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</si>
  <si>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</si>
  <si>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</si>
  <si>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</si>
  <si>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</si>
  <si>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</si>
  <si>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</si>
  <si>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</si>
  <si>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</si>
  <si>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</si>
  <si>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</si>
  <si>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</si>
  <si>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</si>
  <si>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</si>
  <si>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</si>
  <si>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</si>
  <si>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</si>
  <si>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</si>
  <si>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</si>
  <si>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</si>
  <si>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</si>
  <si>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</si>
  <si>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</si>
  <si>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</si>
  <si>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</si>
  <si>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</si>
  <si>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</si>
  <si>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</si>
  <si>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</si>
  <si>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</si>
  <si>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</si>
  <si>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</si>
  <si>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</si>
  <si>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</si>
  <si>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</si>
  <si>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</si>
  <si>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</si>
  <si>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</si>
  <si>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</si>
  <si>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</si>
  <si>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</si>
  <si>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</si>
  <si>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</si>
  <si>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</si>
  <si>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</si>
  <si>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</si>
  <si>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</si>
  <si>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</si>
  <si>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</si>
  <si>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</si>
  <si>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</si>
  <si>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</si>
  <si>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</si>
  <si>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</si>
  <si>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</si>
  <si>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</si>
  <si>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</si>
  <si>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</si>
  <si>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</si>
  <si>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</si>
  <si>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</si>
  <si>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</si>
  <si>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</si>
  <si>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</si>
  <si>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</si>
  <si>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</si>
  <si>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</si>
  <si>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</si>
  <si>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</si>
  <si>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</si>
  <si>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</si>
  <si>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</si>
  <si>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</si>
  <si>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</si>
  <si>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</si>
  <si>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</si>
  <si>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</si>
  <si>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</si>
  <si>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</si>
  <si>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</si>
  <si>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</si>
  <si>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</si>
  <si>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</si>
  <si>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</si>
  <si>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</si>
  <si>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</si>
  <si>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</si>
  <si>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</si>
  <si>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</si>
  <si>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</si>
  <si>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</si>
  <si>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</si>
  <si>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</si>
  <si>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</si>
  <si>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</si>
  <si>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</si>
  <si>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</si>
  <si>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</si>
  <si>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</si>
  <si>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</si>
  <si>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</si>
  <si>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</si>
  <si>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</si>
  <si>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</si>
  <si>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</si>
  <si>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</si>
  <si>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</si>
  <si>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</si>
  <si>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</si>
  <si>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</si>
  <si>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</si>
  <si>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</si>
  <si>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</si>
  <si>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</si>
  <si>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</si>
  <si>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</si>
  <si>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</si>
  <si>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</si>
  <si>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</si>
  <si>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</si>
  <si>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</si>
  <si>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</si>
  <si>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</si>
  <si>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</si>
  <si>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</si>
  <si>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</si>
  <si>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</si>
  <si>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</si>
  <si>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</si>
  <si>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</si>
  <si>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</si>
  <si>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</si>
  <si>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</si>
  <si>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</si>
  <si>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</si>
  <si>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</si>
  <si>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</si>
  <si>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</si>
  <si>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</si>
  <si>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</si>
  <si>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</si>
  <si>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</si>
  <si>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</si>
  <si>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</si>
  <si>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</si>
  <si>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</si>
  <si>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</si>
  <si>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</si>
  <si>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</si>
  <si>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</si>
  <si>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</si>
  <si>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</si>
  <si>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</si>
  <si>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</si>
  <si>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</si>
  <si>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</si>
  <si>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</si>
  <si>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</si>
  <si>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</si>
  <si>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</si>
  <si>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</si>
  <si>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</si>
  <si>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</si>
  <si>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</si>
  <si>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</si>
  <si>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</si>
  <si>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</si>
  <si>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</si>
  <si>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</si>
  <si>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</si>
  <si>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</si>
  <si>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</si>
  <si>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</si>
  <si>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</si>
  <si>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</si>
  <si>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</si>
  <si>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</si>
  <si>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</si>
  <si>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</si>
  <si>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</si>
  <si>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</si>
  <si>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</si>
  <si>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</si>
  <si>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</si>
  <si>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</si>
  <si>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</si>
  <si>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</si>
  <si>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</si>
  <si>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</si>
  <si>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</si>
  <si>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</si>
  <si>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</si>
  <si>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</si>
  <si>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</si>
  <si>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</si>
  <si>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</si>
  <si>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</si>
  <si>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</si>
  <si>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</si>
  <si>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</si>
  <si>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</si>
  <si>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</si>
  <si>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</si>
  <si>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</si>
  <si>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</si>
  <si>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</si>
  <si>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</si>
  <si>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</si>
  <si>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</si>
  <si>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</si>
  <si>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</si>
  <si>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</si>
  <si>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</si>
  <si>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</si>
  <si>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</si>
  <si>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</si>
  <si>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</si>
  <si>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</si>
  <si>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</si>
  <si>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</si>
  <si>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</si>
  <si>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</si>
  <si>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</si>
  <si>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</si>
  <si>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</si>
  <si>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</si>
  <si>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</si>
  <si>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</si>
  <si>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</si>
  <si>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</si>
  <si>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</si>
  <si>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</si>
  <si>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</si>
  <si>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</si>
  <si>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</si>
  <si>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</si>
  <si>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</si>
  <si>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</si>
  <si>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</si>
  <si>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</si>
  <si>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</si>
  <si>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</si>
  <si>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</si>
  <si>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</si>
  <si>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</si>
  <si>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</si>
  <si>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</si>
  <si>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</si>
  <si>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</si>
  <si>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</si>
  <si>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</si>
  <si>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</si>
  <si>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</si>
  <si>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</si>
  <si>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</si>
  <si>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</si>
  <si>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</si>
  <si>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</si>
  <si>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</si>
  <si>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</si>
  <si>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</si>
  <si>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</si>
  <si>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</si>
  <si>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</si>
  <si>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</si>
  <si>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</si>
  <si>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</si>
  <si>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</si>
  <si>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</si>
  <si>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</si>
  <si>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</si>
  <si>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</si>
  <si>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</si>
  <si>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</si>
  <si>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</si>
  <si>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</si>
  <si>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</si>
  <si>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</si>
  <si>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</si>
  <si>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</si>
  <si>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</si>
  <si>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</si>
  <si>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</si>
  <si>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</si>
  <si>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</si>
  <si>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</si>
  <si>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</si>
  <si>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</si>
  <si>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</si>
  <si>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</si>
  <si>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</si>
  <si>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</si>
  <si>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</si>
  <si>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</si>
  <si>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</si>
  <si>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</si>
  <si>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</si>
  <si>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</si>
  <si>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</si>
  <si>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</si>
  <si>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</si>
  <si>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</si>
  <si>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</si>
  <si>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</si>
  <si>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</si>
  <si>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</si>
  <si>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</si>
  <si>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</si>
  <si>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</si>
  <si>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</si>
  <si>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</si>
  <si>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</si>
  <si>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</si>
  <si>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</si>
  <si>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</si>
  <si>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</si>
  <si>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</si>
  <si>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</si>
  <si>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</si>
  <si>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</si>
  <si>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</si>
  <si>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</si>
  <si>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</si>
  <si>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</si>
  <si>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</si>
  <si>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</si>
  <si>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</si>
  <si>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</si>
  <si>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</si>
  <si>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</si>
  <si>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</si>
  <si>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</si>
  <si>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</si>
  <si>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</si>
  <si>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</si>
  <si>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</si>
  <si>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</si>
  <si>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</si>
  <si>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</si>
  <si>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</si>
  <si>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</si>
  <si>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</si>
  <si>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</si>
  <si>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</si>
  <si>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</si>
  <si>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</si>
  <si>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</si>
  <si>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</si>
  <si>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</si>
  <si>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</si>
  <si>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</si>
  <si>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</si>
  <si>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</si>
  <si>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</si>
  <si>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</si>
  <si>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</si>
  <si>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</si>
  <si>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</si>
  <si>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</si>
  <si>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</si>
  <si>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</si>
  <si>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</si>
  <si>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</si>
  <si>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</si>
  <si>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</si>
  <si>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</si>
  <si>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</si>
  <si>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</si>
  <si>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</si>
  <si>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</si>
  <si>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</si>
  <si>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</si>
  <si>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</si>
  <si>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</si>
  <si>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</si>
  <si>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</si>
  <si>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</si>
  <si>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</si>
  <si>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</si>
  <si>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</si>
  <si>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</si>
  <si>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</si>
  <si>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</si>
  <si>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</si>
  <si>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</si>
  <si>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</si>
  <si>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</si>
  <si>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</si>
  <si>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</si>
  <si>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</si>
  <si>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</si>
  <si>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</si>
  <si>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</si>
  <si>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</si>
  <si>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</si>
  <si>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</si>
  <si>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</si>
  <si>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</si>
  <si>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</si>
  <si>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</si>
  <si>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</si>
  <si>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</si>
  <si>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</si>
  <si>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</si>
  <si>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</si>
  <si>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</si>
  <si>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</si>
  <si>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</si>
  <si>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</si>
  <si>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</si>
  <si>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</si>
  <si>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</si>
  <si>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</si>
  <si>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</si>
  <si>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</si>
  <si>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</si>
  <si>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</si>
  <si>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</si>
  <si>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</si>
  <si>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</si>
  <si>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</si>
  <si>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</si>
  <si>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</si>
  <si>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</si>
  <si>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</si>
  <si>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</si>
  <si>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</si>
  <si>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</si>
  <si>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</si>
  <si>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</si>
  <si>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</si>
  <si>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</si>
  <si>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</si>
  <si>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</si>
  <si>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</si>
  <si>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</si>
  <si>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</si>
  <si>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</si>
  <si>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</si>
  <si>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</si>
  <si>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</si>
  <si>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</si>
  <si>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</si>
  <si>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</si>
  <si>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</si>
  <si>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</si>
  <si>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</si>
  <si>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</si>
  <si>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</si>
  <si>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</si>
  <si>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</si>
  <si>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</si>
  <si>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</si>
  <si>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</si>
  <si>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</si>
  <si>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</si>
  <si>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</si>
  <si>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</si>
  <si>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</si>
  <si>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</si>
  <si>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</si>
  <si>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</si>
  <si>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</si>
  <si>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</si>
  <si>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</si>
  <si>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</si>
  <si>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</si>
  <si>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</si>
  <si>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</si>
  <si>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</si>
  <si>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</si>
  <si>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</si>
  <si>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</si>
  <si>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</si>
  <si>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</si>
  <si>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</si>
  <si>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</si>
  <si>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</si>
  <si>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</si>
  <si>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</si>
  <si>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</si>
  <si>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</si>
  <si>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</si>
  <si>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</si>
  <si>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</si>
  <si>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</si>
  <si>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</si>
  <si>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</si>
  <si>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</si>
  <si>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</si>
  <si>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</si>
  <si>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</si>
  <si>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</si>
  <si>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</si>
  <si>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</si>
  <si>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</si>
  <si>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</si>
  <si>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</si>
  <si>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</si>
  <si>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</si>
  <si>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</si>
  <si>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</si>
  <si>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</si>
  <si>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</si>
  <si>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</si>
  <si>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</si>
  <si>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</si>
  <si>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</si>
  <si>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</si>
  <si>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</si>
  <si>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</si>
  <si>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</si>
  <si>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</si>
  <si>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</si>
  <si>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</si>
  <si>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</si>
  <si>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</si>
  <si>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</si>
  <si>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</si>
  <si>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</si>
  <si>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</si>
  <si>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</si>
  <si>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</si>
  <si>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</si>
  <si>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</si>
  <si>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</si>
  <si>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</si>
  <si>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</si>
  <si>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</si>
  <si>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</si>
  <si>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</si>
  <si>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</si>
  <si>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</si>
  <si>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</si>
  <si>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</si>
  <si>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</si>
  <si>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</si>
  <si>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</si>
  <si>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</si>
  <si>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</si>
  <si>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</si>
  <si>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</si>
  <si>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</si>
  <si>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</si>
  <si>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</si>
  <si>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</si>
  <si>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</si>
  <si>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</si>
  <si>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</si>
  <si>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</si>
  <si>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</si>
  <si>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</si>
  <si>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</si>
  <si>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</si>
  <si>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</si>
  <si>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</si>
  <si>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</si>
  <si>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</si>
  <si>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</si>
  <si>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</si>
  <si>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</si>
  <si>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</si>
  <si>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</si>
  <si>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</si>
  <si>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</si>
  <si>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</si>
  <si>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</si>
  <si>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</si>
  <si>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</si>
  <si>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</si>
  <si>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</si>
  <si>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</si>
  <si>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</si>
  <si>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</si>
  <si>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</si>
  <si>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</si>
  <si>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</si>
  <si>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</si>
  <si>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</si>
  <si>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</si>
  <si>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</si>
  <si>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</si>
  <si>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</si>
  <si>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</si>
  <si>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</si>
  <si>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</si>
  <si>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</si>
  <si>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</si>
  <si>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</si>
  <si>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</si>
  <si>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</si>
  <si>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</si>
  <si>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</si>
  <si>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</si>
  <si>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</si>
  <si>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</si>
  <si>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</si>
  <si>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</si>
  <si>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</si>
  <si>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</si>
  <si>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</si>
  <si>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</si>
  <si>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</si>
  <si>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</si>
  <si>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</si>
  <si>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</si>
  <si>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</si>
  <si>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</si>
  <si>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</si>
  <si>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</si>
  <si>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</si>
  <si>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</si>
  <si>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</si>
  <si>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</si>
  <si>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</si>
  <si>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</si>
  <si>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</si>
  <si>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</si>
  <si>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</si>
  <si>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</si>
  <si>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</si>
  <si>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</si>
  <si>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</si>
  <si>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</si>
  <si>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</si>
  <si>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</si>
  <si>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</si>
  <si>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</si>
  <si>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</si>
  <si>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</si>
  <si>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</si>
  <si>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</si>
  <si>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</si>
  <si>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</si>
  <si>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</si>
  <si>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</si>
  <si>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</si>
  <si>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</si>
  <si>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</si>
  <si>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</si>
  <si>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</si>
  <si>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</si>
  <si>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</si>
  <si>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</si>
  <si>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</si>
  <si>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</si>
  <si>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</si>
  <si>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</si>
  <si>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</si>
  <si>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</si>
  <si>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</si>
  <si>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</si>
  <si>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</si>
  <si>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</si>
  <si>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</si>
  <si>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</si>
  <si>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</si>
  <si>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</si>
  <si>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</si>
  <si>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</si>
  <si>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</si>
  <si>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</si>
  <si>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</si>
  <si>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</si>
  <si>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</si>
  <si>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</si>
  <si>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</si>
  <si>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</si>
  <si>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</si>
  <si>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</si>
  <si>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</si>
  <si>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</si>
  <si>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</si>
  <si>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</si>
  <si>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</si>
  <si>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</si>
  <si>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</si>
  <si>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</si>
  <si>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</si>
  <si>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</si>
  <si>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</si>
  <si>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</si>
  <si>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</si>
  <si>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</si>
  <si>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</si>
  <si>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</si>
  <si>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</si>
  <si>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</si>
  <si>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</si>
  <si>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</si>
  <si>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</si>
  <si>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</si>
  <si>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</si>
  <si>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</si>
  <si>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</si>
  <si>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</si>
  <si>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</si>
  <si>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</si>
  <si>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</si>
  <si>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</si>
  <si>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</si>
  <si>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</si>
  <si>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</si>
  <si>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</si>
  <si>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</si>
  <si>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</si>
  <si>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</si>
  <si>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</si>
  <si>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</si>
  <si>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</si>
  <si>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</si>
  <si>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</si>
  <si>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</si>
  <si>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</si>
  <si>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</si>
  <si>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</si>
  <si>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</si>
  <si>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</si>
  <si>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</si>
  <si>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</si>
  <si>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</si>
  <si>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</si>
  <si>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</si>
  <si>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</si>
  <si>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</si>
  <si>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</si>
  <si>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</si>
  <si>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</si>
  <si>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</si>
  <si>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</si>
  <si>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</si>
  <si>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</si>
  <si>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</si>
  <si>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</si>
  <si>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</si>
  <si>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</si>
  <si>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</si>
  <si>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</si>
  <si>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</si>
  <si>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</si>
  <si>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</si>
  <si>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</si>
  <si>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</si>
  <si>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</si>
  <si>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</si>
  <si>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</si>
  <si>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</si>
  <si>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</si>
  <si>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</si>
  <si>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</si>
  <si>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</si>
  <si>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</si>
  <si>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</si>
  <si>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</si>
  <si>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</si>
  <si>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</si>
  <si>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</si>
  <si>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</si>
  <si>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</si>
  <si>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</si>
  <si>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</si>
  <si>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</si>
  <si>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</si>
  <si>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</si>
  <si>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</si>
  <si>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</si>
  <si>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</si>
  <si>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</si>
  <si>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</si>
  <si>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</si>
  <si>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</si>
  <si>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</si>
  <si>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</si>
  <si>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</si>
  <si>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</si>
  <si>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</si>
  <si>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</si>
  <si>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</si>
  <si>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</si>
  <si>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</si>
  <si>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</si>
  <si>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</si>
  <si>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</si>
  <si>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</si>
  <si>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</si>
  <si>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</si>
  <si>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</si>
  <si>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</si>
  <si>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</si>
  <si>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</si>
  <si>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</si>
  <si>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</si>
  <si>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</si>
  <si>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</si>
  <si>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</si>
  <si>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</si>
  <si>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</si>
  <si>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</si>
  <si>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</si>
  <si>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</si>
  <si>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</si>
  <si>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</si>
  <si>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</si>
  <si>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</si>
  <si>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</si>
  <si>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</si>
  <si>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</si>
  <si>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</si>
  <si>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</si>
  <si>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</si>
  <si>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</si>
  <si>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</si>
  <si>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</si>
  <si>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</si>
  <si>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</si>
  <si>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</si>
  <si>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</si>
  <si>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</si>
  <si>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</si>
  <si>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</si>
  <si>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</si>
  <si>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</si>
  <si>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</si>
  <si>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</si>
  <si>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</si>
  <si>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</si>
  <si>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</si>
  <si>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</si>
  <si>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</si>
  <si>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</si>
  <si>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</si>
  <si>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</si>
  <si>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</si>
  <si>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</si>
  <si>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</si>
  <si>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</si>
  <si>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</si>
  <si>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</si>
  <si>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</si>
  <si>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</si>
  <si>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</si>
  <si>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</si>
  <si>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</si>
  <si>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</si>
  <si>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</si>
  <si>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</si>
  <si>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</si>
  <si>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</si>
  <si>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</si>
  <si>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</si>
  <si>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</si>
  <si>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</si>
  <si>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</si>
  <si>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</si>
  <si>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</si>
  <si>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</si>
  <si>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</si>
  <si>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</si>
  <si>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</si>
  <si>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</si>
  <si>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</si>
  <si>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</si>
  <si>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</si>
  <si>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</si>
  <si>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</si>
  <si>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</si>
  <si>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</si>
  <si>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</si>
  <si>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</si>
  <si>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</si>
  <si>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</si>
  <si>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</si>
  <si>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</si>
  <si>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</si>
  <si>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</si>
  <si>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</si>
  <si>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</si>
  <si>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</si>
  <si>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</si>
  <si>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</si>
  <si>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</si>
  <si>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</si>
  <si>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</si>
  <si>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</si>
  <si>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</si>
  <si>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</si>
  <si>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</si>
  <si>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</si>
  <si>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</si>
  <si>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</si>
  <si>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</si>
  <si>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</si>
  <si>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</si>
  <si>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</si>
  <si>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</si>
  <si>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</si>
  <si>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</si>
  <si>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</si>
  <si>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</si>
  <si>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</si>
  <si>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</si>
  <si>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</si>
  <si>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</si>
  <si>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</si>
  <si>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</si>
  <si>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</si>
  <si>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</si>
  <si>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</si>
  <si>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</si>
  <si>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</si>
  <si>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</si>
  <si>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</si>
  <si>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</si>
  <si>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</si>
  <si>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</si>
  <si>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</si>
  <si>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</si>
  <si>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</si>
  <si>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</si>
  <si>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</si>
  <si>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</si>
  <si>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</si>
  <si>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</si>
  <si>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</si>
  <si>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</si>
  <si>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</si>
  <si>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</si>
  <si>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</si>
  <si>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</si>
  <si>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</si>
  <si>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</si>
  <si>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</si>
  <si>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</si>
  <si>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</si>
  <si>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</si>
  <si>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</si>
  <si>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</si>
  <si>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</si>
  <si>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</si>
  <si>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</si>
  <si>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</si>
  <si>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</si>
  <si>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</si>
  <si>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</si>
  <si>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</si>
  <si>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</si>
  <si>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</si>
  <si>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</si>
  <si>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</si>
  <si>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</si>
  <si>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</si>
  <si>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</si>
  <si>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</si>
  <si>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</si>
  <si>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</si>
  <si>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</si>
  <si>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</si>
  <si>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</si>
  <si>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</si>
  <si>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</si>
  <si>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</si>
  <si>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</si>
  <si>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</si>
  <si>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</si>
  <si>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</si>
  <si>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</si>
  <si>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</si>
  <si>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</si>
  <si>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</si>
  <si>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</si>
  <si>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</si>
  <si>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</si>
  <si>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</si>
  <si>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</si>
  <si>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</si>
  <si>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</si>
  <si>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</si>
  <si>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</si>
  <si>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</si>
  <si>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</si>
  <si>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</si>
  <si>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</si>
  <si>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</si>
  <si>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</si>
  <si>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</si>
  <si>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</si>
  <si>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</si>
  <si>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</si>
  <si>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</si>
  <si>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</si>
  <si>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</si>
  <si>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</si>
  <si>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</si>
  <si>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</si>
  <si>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</si>
  <si>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</si>
  <si>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</si>
  <si>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</si>
  <si>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</si>
  <si>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</si>
  <si>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</si>
  <si>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</si>
  <si>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</si>
  <si>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</si>
  <si>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</si>
  <si>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</si>
  <si>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</si>
  <si>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</si>
  <si>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</si>
  <si>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</si>
  <si>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</si>
  <si>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</si>
  <si>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</si>
  <si>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</si>
  <si>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</si>
  <si>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</si>
  <si>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</si>
  <si>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</si>
  <si>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</si>
  <si>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</si>
  <si>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</si>
  <si>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</si>
  <si>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</si>
  <si>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</si>
  <si>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</si>
  <si>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</si>
  <si>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</si>
  <si>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</si>
  <si>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</si>
  <si>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</si>
  <si>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</si>
  <si>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</si>
  <si>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</si>
  <si>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</si>
  <si>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</si>
  <si>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</si>
  <si>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</si>
  <si>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</si>
  <si>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</si>
  <si>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</si>
  <si>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</si>
  <si>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</si>
  <si>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</si>
  <si>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</si>
  <si>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</si>
  <si>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</si>
  <si>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</si>
  <si>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</si>
  <si>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</si>
  <si>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</si>
  <si>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</si>
  <si>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</si>
  <si>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</si>
  <si>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</si>
  <si>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</si>
  <si>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</si>
  <si>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</si>
  <si>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</si>
  <si>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</si>
  <si>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</si>
  <si>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</si>
  <si>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</si>
  <si>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</si>
  <si>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</si>
  <si>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</si>
  <si>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</si>
  <si>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</si>
  <si>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</si>
  <si>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</si>
  <si>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</si>
  <si>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</si>
  <si>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</si>
  <si>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</si>
  <si>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</si>
  <si>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</si>
  <si>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</si>
  <si>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</si>
  <si>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</si>
  <si>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</si>
  <si>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</si>
  <si>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</si>
  <si>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</si>
  <si>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</si>
  <si>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</si>
  <si>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</si>
  <si>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</si>
  <si>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</si>
  <si>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</si>
  <si>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</si>
  <si>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</si>
  <si>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</si>
  <si>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</si>
  <si>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</si>
  <si>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</si>
  <si>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</si>
  <si>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</si>
  <si>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</si>
  <si>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</si>
  <si>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</si>
  <si>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</si>
  <si>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</si>
  <si>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</si>
  <si>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</si>
  <si>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</si>
  <si>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</si>
  <si>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</si>
  <si>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</si>
  <si>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</si>
  <si>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</si>
  <si>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</si>
  <si>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</si>
  <si>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</si>
  <si>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</si>
  <si>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</si>
  <si>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</si>
  <si>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</si>
  <si>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</si>
  <si>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</si>
  <si>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</si>
  <si>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</si>
  <si>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</si>
  <si>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</si>
  <si>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</si>
  <si>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</si>
  <si>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</si>
  <si>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</si>
  <si>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</si>
  <si>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</si>
  <si>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</si>
  <si>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</si>
  <si>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</si>
  <si>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</si>
  <si>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</si>
  <si>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</si>
  <si>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</si>
  <si>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</si>
  <si>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</si>
  <si>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</si>
  <si>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</si>
  <si>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</si>
  <si>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</si>
  <si>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</si>
  <si>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</si>
  <si>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</si>
  <si>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</si>
  <si>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</si>
  <si>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</si>
  <si>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</si>
  <si>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</si>
  <si>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</si>
  <si>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</si>
  <si>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</si>
  <si>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</si>
  <si>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</si>
  <si>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</si>
  <si>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</si>
  <si>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</si>
  <si>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</si>
  <si>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</si>
  <si>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</si>
  <si>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</si>
  <si>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</si>
  <si>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</si>
  <si>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</si>
  <si>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</si>
  <si>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</si>
  <si>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</si>
  <si>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</si>
  <si>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</si>
  <si>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</si>
  <si>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</si>
  <si>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</si>
  <si>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</si>
  <si>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</si>
  <si>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</si>
  <si>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</si>
  <si>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</si>
  <si>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</si>
  <si>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</si>
  <si>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</si>
  <si>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</si>
  <si>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</si>
  <si>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</si>
  <si>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</si>
  <si>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</si>
  <si>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</si>
  <si>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</si>
  <si>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</si>
  <si>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</si>
  <si>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</si>
  <si>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</si>
  <si>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</si>
  <si>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</si>
  <si>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</si>
  <si>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</si>
  <si>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</si>
  <si>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</si>
  <si>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</si>
  <si>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</si>
  <si>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</si>
  <si>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</si>
  <si>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</si>
  <si>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</si>
  <si>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</si>
  <si>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</si>
  <si>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</si>
  <si>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</si>
  <si>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</si>
  <si>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</si>
  <si>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</si>
  <si>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</si>
  <si>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</si>
  <si>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</si>
  <si>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</si>
  <si>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</si>
  <si>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</si>
  <si>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</si>
  <si>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</si>
  <si>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</si>
  <si>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</si>
  <si>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</si>
  <si>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</si>
  <si>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</si>
  <si>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</si>
  <si>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</si>
  <si>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</si>
  <si>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</si>
  <si>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</si>
  <si>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</si>
  <si>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</si>
  <si>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</si>
  <si>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</si>
  <si>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</si>
  <si>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</si>
  <si>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</si>
  <si>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</si>
  <si>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</si>
  <si>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</si>
  <si>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</si>
  <si>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</si>
  <si>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</si>
  <si>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</si>
  <si>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</si>
  <si>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</si>
  <si>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</si>
  <si>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</si>
  <si>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</si>
  <si>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</si>
  <si>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</si>
  <si>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</si>
  <si>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</si>
  <si>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</si>
  <si>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</si>
  <si>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</si>
  <si>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</si>
  <si>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</si>
  <si>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</si>
  <si>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</si>
  <si>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</si>
  <si>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</si>
  <si>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</si>
  <si>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</si>
  <si>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</si>
  <si>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</si>
  <si>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</si>
  <si>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</si>
  <si>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</si>
  <si>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</si>
  <si>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</si>
  <si>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</si>
  <si>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</si>
  <si>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</si>
  <si>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</si>
  <si>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</si>
  <si>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</si>
  <si>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</si>
  <si>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</si>
  <si>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</si>
  <si>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</si>
  <si>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</si>
  <si>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</si>
  <si>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</si>
  <si>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</si>
  <si>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</si>
  <si>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</si>
  <si>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</si>
  <si>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</si>
  <si>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</si>
  <si>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</si>
  <si>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</si>
  <si>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</si>
  <si>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</si>
  <si>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</si>
  <si>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</si>
  <si>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</si>
  <si>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</si>
  <si>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</si>
  <si>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</si>
  <si>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</si>
  <si>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</si>
  <si>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</si>
  <si>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</si>
  <si>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</si>
  <si>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</si>
  <si>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</si>
  <si>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</si>
  <si>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</si>
  <si>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</si>
  <si>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</si>
  <si>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</si>
  <si>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</si>
  <si>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</si>
  <si>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</si>
  <si>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</si>
  <si>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</si>
  <si>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</si>
  <si>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</si>
  <si>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</si>
  <si>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</si>
  <si>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</si>
  <si>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</si>
  <si>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</si>
  <si>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</si>
  <si>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</si>
  <si>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</si>
  <si>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</si>
  <si>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</si>
  <si>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</si>
  <si>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</si>
  <si>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</si>
  <si>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</si>
  <si>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</si>
  <si>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</si>
  <si>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</si>
  <si>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</si>
  <si>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</si>
  <si>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</si>
  <si>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</si>
  <si>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</si>
  <si>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</si>
  <si>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</si>
  <si>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</si>
  <si>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</si>
  <si>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</si>
  <si>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</si>
  <si>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</si>
  <si>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</si>
  <si>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</si>
  <si>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</si>
  <si>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</si>
  <si>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</si>
  <si>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</si>
  <si>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</si>
  <si>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</si>
  <si>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</si>
  <si>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</si>
  <si>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</si>
  <si>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</si>
  <si>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</si>
  <si>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</si>
  <si>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</si>
  <si>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</si>
  <si>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</si>
  <si>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</si>
  <si>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</si>
  <si>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</si>
  <si>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</si>
  <si>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</si>
  <si>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</si>
  <si>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</si>
  <si>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</si>
  <si>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</si>
  <si>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</si>
  <si>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</si>
  <si>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</si>
  <si>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</si>
  <si>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</si>
  <si>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</si>
  <si>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</si>
  <si>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</si>
  <si>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</si>
  <si>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</si>
  <si>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</si>
  <si>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</si>
  <si>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</si>
  <si>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</si>
  <si>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</si>
  <si>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</si>
  <si>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</si>
  <si>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</si>
  <si>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</si>
  <si>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</si>
  <si>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</si>
  <si>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</si>
  <si>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</si>
  <si>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</si>
  <si>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</si>
  <si>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</si>
  <si>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</si>
  <si>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</si>
  <si>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</si>
  <si>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</si>
  <si>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</si>
  <si>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</si>
  <si>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</si>
  <si>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</si>
  <si>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</si>
  <si>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</si>
  <si>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</si>
  <si>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</si>
  <si>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</si>
  <si>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</si>
  <si>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</si>
  <si>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</si>
  <si>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</si>
  <si>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</si>
  <si>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</si>
  <si>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</si>
  <si>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</si>
  <si>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</si>
  <si>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</si>
  <si>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</si>
  <si>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</si>
  <si>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</si>
  <si>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</si>
  <si>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</si>
  <si>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</si>
  <si>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</si>
  <si>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</si>
  <si>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</si>
  <si>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</si>
  <si>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</si>
  <si>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</si>
  <si>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</si>
  <si>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</si>
  <si>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</si>
  <si>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</si>
  <si>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</si>
  <si>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</si>
  <si>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</si>
  <si>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</si>
  <si>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</si>
  <si>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</si>
  <si>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</si>
  <si>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</si>
  <si>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</si>
  <si>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</si>
  <si>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</si>
  <si>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</si>
  <si>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</si>
  <si>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</si>
  <si>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</si>
  <si>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</si>
  <si>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</si>
  <si>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</si>
  <si>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</si>
  <si>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</si>
  <si>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</si>
  <si>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</si>
  <si>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</si>
  <si>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</si>
  <si>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</si>
  <si>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</si>
  <si>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</si>
  <si>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</si>
  <si>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</si>
  <si>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</si>
  <si>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</si>
  <si>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</si>
  <si>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</si>
  <si>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</si>
  <si>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</si>
  <si>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</si>
  <si>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</si>
  <si>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</si>
  <si>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</si>
  <si>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</si>
  <si>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</si>
  <si>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</si>
  <si>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</si>
  <si>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</si>
  <si>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</si>
  <si>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</si>
  <si>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</si>
  <si>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</si>
  <si>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</si>
  <si>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</si>
  <si>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</si>
  <si>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</si>
  <si>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</si>
  <si>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</si>
  <si>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</si>
  <si>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</si>
  <si>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</si>
  <si>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</si>
  <si>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</si>
  <si>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</si>
  <si>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</si>
  <si>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</si>
  <si>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</si>
  <si>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</si>
  <si>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</si>
  <si>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</si>
  <si>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</si>
  <si>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</si>
  <si>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</si>
  <si>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</si>
  <si>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</si>
  <si>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</si>
  <si>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</si>
  <si>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</si>
  <si>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</si>
  <si>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</si>
  <si>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</si>
  <si>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</si>
  <si>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</si>
  <si>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</si>
  <si>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</si>
  <si>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</si>
  <si>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</si>
  <si>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</si>
  <si>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</si>
  <si>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</si>
  <si>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</si>
  <si>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</si>
  <si>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</si>
  <si>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</si>
  <si>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</si>
  <si>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</si>
  <si>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</si>
  <si>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</si>
  <si>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</si>
  <si>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</si>
  <si>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</si>
  <si>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</si>
  <si>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</si>
  <si>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</si>
  <si>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</si>
  <si>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</si>
  <si>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</si>
  <si>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</si>
  <si>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</si>
  <si>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</si>
  <si>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</si>
  <si>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</si>
  <si>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</si>
  <si>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</si>
  <si>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</si>
  <si>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</si>
  <si>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</si>
  <si>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</si>
  <si>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</si>
  <si>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</si>
  <si>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</si>
  <si>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</si>
  <si>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</si>
  <si>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</si>
  <si>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</si>
  <si>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</si>
  <si>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</si>
  <si>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</si>
  <si>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</si>
  <si>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</si>
  <si>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</si>
  <si>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</si>
  <si>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</si>
  <si>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</si>
  <si>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</si>
  <si>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</si>
  <si>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</si>
  <si>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</si>
  <si>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</si>
  <si>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</si>
  <si>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</si>
  <si>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</si>
  <si>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</si>
  <si>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</si>
  <si>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</si>
  <si>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</si>
  <si>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</si>
  <si>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</si>
  <si>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</si>
  <si>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</si>
  <si>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</si>
  <si>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</si>
  <si>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</si>
  <si>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</si>
  <si>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</si>
  <si>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</si>
  <si>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</si>
  <si>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</si>
  <si>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</si>
  <si>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</si>
  <si>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</si>
  <si>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</si>
  <si>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</si>
  <si>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</si>
  <si>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</si>
  <si>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</si>
  <si>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</si>
  <si>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</si>
  <si>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</si>
  <si>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</si>
  <si>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</si>
  <si>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</si>
  <si>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</si>
  <si>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</si>
  <si>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</si>
  <si>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</si>
  <si>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</si>
  <si>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</si>
  <si>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</si>
  <si>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</si>
  <si>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</si>
  <si>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</si>
  <si>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</si>
  <si>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</si>
  <si>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</si>
  <si>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</si>
  <si>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</si>
  <si>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</si>
  <si>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</si>
  <si>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</si>
  <si>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</si>
  <si>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</si>
  <si>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</si>
  <si>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</si>
  <si>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</si>
  <si>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</si>
  <si>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</si>
  <si>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</si>
  <si>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</si>
  <si>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</si>
  <si>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</si>
  <si>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</si>
  <si>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</si>
  <si>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</si>
  <si>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</si>
  <si>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</si>
  <si>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</si>
  <si>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</si>
  <si>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</si>
  <si>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</si>
  <si>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</si>
  <si>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</si>
  <si>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</si>
  <si>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</si>
  <si>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</si>
  <si>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</si>
  <si>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</si>
  <si>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</si>
  <si>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</si>
  <si>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</si>
  <si>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</si>
  <si>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</si>
  <si>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</si>
  <si>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</si>
  <si>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</si>
  <si>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</si>
  <si>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</si>
  <si>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</si>
  <si>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</si>
  <si>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</si>
  <si>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</si>
  <si>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</si>
  <si>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</si>
  <si>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</si>
  <si>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</si>
  <si>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</si>
  <si>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</si>
  <si>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</si>
  <si>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</si>
  <si>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</si>
  <si>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</si>
  <si>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</si>
  <si>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</si>
  <si>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</si>
  <si>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</si>
  <si>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</si>
  <si>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</si>
  <si>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</si>
  <si>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</si>
  <si>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</si>
  <si>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</si>
  <si>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</si>
  <si>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</si>
  <si>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</si>
  <si>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</si>
  <si>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</si>
  <si>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</si>
  <si>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</si>
  <si>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</si>
  <si>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</si>
  <si>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</si>
  <si>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</si>
  <si>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</si>
  <si>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</si>
  <si>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</si>
  <si>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</si>
  <si>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</si>
  <si>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</si>
  <si>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</si>
  <si>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</si>
  <si>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</si>
  <si>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</si>
  <si>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</si>
  <si>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</si>
  <si>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</si>
  <si>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</si>
  <si>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</si>
  <si>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</si>
  <si>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</si>
  <si>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</si>
  <si>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</si>
  <si>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</si>
  <si>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</si>
  <si>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</si>
  <si>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</si>
  <si>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</si>
  <si>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</si>
  <si>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</si>
  <si>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</si>
  <si>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</si>
  <si>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</si>
  <si>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</si>
  <si>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</si>
  <si>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</si>
  <si>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</si>
  <si>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</si>
  <si>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</si>
  <si>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</si>
  <si>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</si>
  <si>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</si>
  <si>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</si>
  <si>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</si>
  <si>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</si>
  <si>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</si>
  <si>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</si>
  <si>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</si>
  <si>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</si>
  <si>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</si>
  <si>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</si>
  <si>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</si>
  <si>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</si>
  <si>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</si>
  <si>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</si>
  <si>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</si>
  <si>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</si>
  <si>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</si>
  <si>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</si>
  <si>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</si>
  <si>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</si>
  <si>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</si>
  <si>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</si>
  <si>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</si>
  <si>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</si>
  <si>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</si>
  <si>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</si>
  <si>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</si>
  <si>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</si>
  <si>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</si>
  <si>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</si>
  <si>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</si>
  <si>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</si>
  <si>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</si>
  <si>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</si>
  <si>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</si>
  <si>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</si>
  <si>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</si>
  <si>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</si>
  <si>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</si>
  <si>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</si>
  <si>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</si>
  <si>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</si>
  <si>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</si>
  <si>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</si>
  <si>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</si>
  <si>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</si>
  <si>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</si>
  <si>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</si>
  <si>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</si>
  <si>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</si>
  <si>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</si>
  <si>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</si>
  <si>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</si>
  <si>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</si>
  <si>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</si>
  <si>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</si>
  <si>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</si>
  <si>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</si>
  <si>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</si>
  <si>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</si>
  <si>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</si>
  <si>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</si>
  <si>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</si>
  <si>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</si>
  <si>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</si>
  <si>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</si>
  <si>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</si>
  <si>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</si>
  <si>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</si>
  <si>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</si>
  <si>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</si>
  <si>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</si>
  <si>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</si>
  <si>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</si>
  <si>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</si>
  <si>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</si>
  <si>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</si>
  <si>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</si>
  <si>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</si>
  <si>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</si>
  <si>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</si>
  <si>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</si>
  <si>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</si>
  <si>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</si>
  <si>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</si>
  <si>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</si>
  <si>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</si>
  <si>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</si>
  <si>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</si>
  <si>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</si>
  <si>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</si>
  <si>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</si>
  <si>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</si>
  <si>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</si>
  <si>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</si>
  <si>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</si>
  <si>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</si>
  <si>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</si>
  <si>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</si>
  <si>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</si>
  <si>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</si>
  <si>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</si>
  <si>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</si>
  <si>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</si>
  <si>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</si>
  <si>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</si>
  <si>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</si>
  <si>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</si>
  <si>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</si>
  <si>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</si>
  <si>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</si>
  <si>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</si>
  <si>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</si>
  <si>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</si>
  <si>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</si>
  <si>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</si>
  <si>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</si>
  <si>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</si>
  <si>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</si>
  <si>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</si>
  <si>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</si>
  <si>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</si>
  <si>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</si>
  <si>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</si>
  <si>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</si>
  <si>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</si>
  <si>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</si>
  <si>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</si>
  <si>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</si>
  <si>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</si>
  <si>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</si>
  <si>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</si>
  <si>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</si>
  <si>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</si>
  <si>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</si>
  <si>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</si>
  <si>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</si>
  <si>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</si>
  <si>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</si>
  <si>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</si>
  <si>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</si>
  <si>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</si>
  <si>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</si>
  <si>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</si>
  <si>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</si>
  <si>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</si>
  <si>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</si>
  <si>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</si>
  <si>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</si>
  <si>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</si>
  <si>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</si>
  <si>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</si>
  <si>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</si>
  <si>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</si>
  <si>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</si>
  <si>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</si>
  <si>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</si>
  <si>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</si>
  <si>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</si>
  <si>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</si>
  <si>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</si>
  <si>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</si>
  <si>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</si>
  <si>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</si>
  <si>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</si>
  <si>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</si>
  <si>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</si>
  <si>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</si>
  <si>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</si>
  <si>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</si>
  <si>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</si>
  <si>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</si>
  <si>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</si>
  <si>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</si>
  <si>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</si>
  <si>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</si>
  <si>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</si>
  <si>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</si>
  <si>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</si>
  <si>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</si>
  <si>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</si>
  <si>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</si>
  <si>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</si>
  <si>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</si>
  <si>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</si>
  <si>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</si>
  <si>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</si>
  <si>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</si>
  <si>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</si>
  <si>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</si>
  <si>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</si>
  <si>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</si>
  <si>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</si>
  <si>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</si>
  <si>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</si>
  <si>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</si>
  <si>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</si>
  <si>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</si>
  <si>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</si>
  <si>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</si>
  <si>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</si>
  <si>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</si>
  <si>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</si>
  <si>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</si>
  <si>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</si>
  <si>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</si>
  <si>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</si>
  <si>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</si>
  <si>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</si>
  <si>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</si>
  <si>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</si>
  <si>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</si>
  <si>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</si>
  <si>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</si>
  <si>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</si>
  <si>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</si>
  <si>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</si>
  <si>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</si>
  <si>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</si>
  <si>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</si>
  <si>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</si>
  <si>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</si>
  <si>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</si>
  <si>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</si>
  <si>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</si>
  <si>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</si>
  <si>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</si>
  <si>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</si>
  <si>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</si>
  <si>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</si>
  <si>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</si>
  <si>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</si>
  <si>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</si>
  <si>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</si>
  <si>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</si>
  <si>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</si>
  <si>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</si>
  <si>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</si>
  <si>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</si>
  <si>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</si>
  <si>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</si>
  <si>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</si>
  <si>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</si>
  <si>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</si>
  <si>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</si>
  <si>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</si>
  <si>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</si>
  <si>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</si>
  <si>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</si>
  <si>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</si>
  <si>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</si>
  <si>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</si>
  <si>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</si>
  <si>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</si>
  <si>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</si>
  <si>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</si>
  <si>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</si>
  <si>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</si>
  <si>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</si>
  <si>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</si>
  <si>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</si>
  <si>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</si>
  <si>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</si>
  <si>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</si>
  <si>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</si>
  <si>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</si>
  <si>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</si>
  <si>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</si>
  <si>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</si>
  <si>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</si>
  <si>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</si>
  <si>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</si>
  <si>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</si>
  <si>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</si>
  <si>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</si>
  <si>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</si>
  <si>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</si>
  <si>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</si>
  <si>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</si>
  <si>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</si>
  <si>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</si>
  <si>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</si>
  <si>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</si>
  <si>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</si>
  <si>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</si>
  <si>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</si>
  <si>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</si>
  <si>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</si>
  <si>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</si>
  <si>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</si>
  <si>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</si>
  <si>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</si>
  <si>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</si>
  <si>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</si>
  <si>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</si>
  <si>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</si>
  <si>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</si>
  <si>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</si>
  <si>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</si>
  <si>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</si>
  <si>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</si>
  <si>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</si>
  <si>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</si>
  <si>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</si>
  <si>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</si>
  <si>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</si>
  <si>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</si>
  <si>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</si>
  <si>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</si>
  <si>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</si>
  <si>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</si>
  <si>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</si>
  <si>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</si>
  <si>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</si>
  <si>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</si>
  <si>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</si>
  <si>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</si>
  <si>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</si>
  <si>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</si>
  <si>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</si>
  <si>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LaSalle</t>
  </si>
  <si>
    <t>2283 N. 3812th Road, P.O. Box 107</t>
  </si>
  <si>
    <t>Serena</t>
  </si>
  <si>
    <t>sbyrd@unit2.net</t>
  </si>
  <si>
    <t>Kyle Hendrickson, CPA</t>
  </si>
  <si>
    <t>Spencer Byrd</t>
  </si>
  <si>
    <t>Illinois Valley Community College (College/CTE Courses)</t>
  </si>
  <si>
    <t>LaSalle County ROE #35</t>
  </si>
  <si>
    <t>IIIT through PMA</t>
  </si>
  <si>
    <t>L.E.A.S.E.</t>
  </si>
  <si>
    <t>VALEES; Indian Valley Vocational Center</t>
  </si>
  <si>
    <t>Little 10 Conference for extra-curricular offerings</t>
  </si>
  <si>
    <t>There were no findings for the prior year ending June 30, 2019.</t>
  </si>
  <si>
    <t>khendrickson@gorenzcpa.com</t>
  </si>
  <si>
    <t>G.O. Bond Series 2010</t>
  </si>
  <si>
    <t>G.O. Bond Series 2012</t>
  </si>
  <si>
    <t>G.O. Bond Series 2015</t>
  </si>
  <si>
    <t>Refunding Bond 2017</t>
  </si>
  <si>
    <t>G.O. Bond Series 2015A</t>
  </si>
  <si>
    <t>NONE</t>
  </si>
  <si>
    <t>Page 10, Line 74: Lunch Cards, Refunds and Reimbursements</t>
  </si>
  <si>
    <t>Page 10, Line 78: Tournament Admissions</t>
  </si>
  <si>
    <t>Page 10, Line 81: Miscellaneous Activity Fees</t>
  </si>
  <si>
    <t>Page 11, Line 107: Miscellaneous Refunds, Rebates, and Reimbursements</t>
  </si>
  <si>
    <t>Page 11, Line 131: Library Grant</t>
  </si>
  <si>
    <t>Page 16, Line 83: ROE Membership Co-Op Fee</t>
  </si>
  <si>
    <t>Page 18, Line 171: Bond Service Fees</t>
  </si>
  <si>
    <t>Page 18, Line 193: Transportation Services</t>
  </si>
  <si>
    <t>See PDF version</t>
  </si>
  <si>
    <t xml:space="preserve">   Serena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</si>
</sst>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xdr:row>
          <xdr:rowOff>19050</xdr:rowOff>
        </xdr:from>
        <xdr:to>
          <xdr:col>1</xdr:col>
          <xdr:colOff>1047750</xdr:colOff>
          <xdr:row>5</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2050</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35050002026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2059</v>
      </c>
      <c r="B15" s="2089"/>
      <c r="C15" s="2089"/>
      <c r="D15" s="2089"/>
      <c r="E15" s="2089"/>
      <c r="F15" s="2089"/>
      <c r="G15" s="2089"/>
      <c r="H15" s="2090"/>
      <c r="T15" s="2052" t="s">
        <v>2063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2088</v>
      </c>
      <c r="B17" s="2114"/>
      <c r="C17" s="2114"/>
      <c r="D17" s="2114"/>
      <c r="E17" s="2114"/>
      <c r="F17" s="2114"/>
      <c r="G17" s="2114"/>
      <c r="H17" s="2115"/>
      <c r="T17" s="2101" t="s">
        <v>2052</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2060</v>
      </c>
      <c r="B19" s="2085"/>
      <c r="C19" s="2085"/>
      <c r="D19" s="2085"/>
      <c r="E19" s="2085"/>
      <c r="F19" s="2085"/>
      <c r="G19" s="2085"/>
      <c r="H19" s="2083"/>
      <c r="I19" s="30"/>
      <c r="J19" s="96"/>
      <c r="K19" s="40"/>
      <c r="L19" s="38"/>
      <c r="M19" s="109" t="s">
        <v>312</v>
      </c>
      <c r="P19" s="27"/>
      <c r="Q19" s="27"/>
      <c r="R19" s="27"/>
      <c r="S19" s="31"/>
      <c r="T19" s="2084" t="s">
        <v>2053</v>
      </c>
      <c r="U19" s="2082"/>
      <c r="V19" s="2082"/>
      <c r="W19" s="2083"/>
      <c r="X19" s="2099" t="s">
        <v>2054</v>
      </c>
      <c r="Y19" s="2100"/>
      <c r="Z19" s="2097">
        <v>61614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2061</v>
      </c>
      <c r="B21" s="2082"/>
      <c r="C21" s="2082"/>
      <c r="D21" s="2082"/>
      <c r="E21" s="2082"/>
      <c r="F21" s="2082"/>
      <c r="G21" s="2082"/>
      <c r="H21" s="2083"/>
      <c r="I21" s="2107" t="s">
        <v>673</v>
      </c>
      <c r="J21" s="2070"/>
      <c r="K21" s="2070"/>
      <c r="L21" s="2070"/>
      <c r="M21" s="2070"/>
      <c r="N21" s="2070"/>
      <c r="O21" s="2070"/>
      <c r="P21" s="2070"/>
      <c r="Q21" s="2070"/>
      <c r="R21" s="2070"/>
      <c r="S21" s="2071"/>
      <c r="T21" s="2049" t="s">
        <v>2055</v>
      </c>
      <c r="U21" s="2050"/>
      <c r="V21" s="2050"/>
      <c r="W21" s="2050"/>
      <c r="X21" s="2063" t="s">
        <v>2056</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2062</v>
      </c>
      <c r="B23" s="2105"/>
      <c r="C23" s="2105"/>
      <c r="D23" s="2105"/>
      <c r="E23" s="2105"/>
      <c r="F23" s="2105"/>
      <c r="G23" s="2105"/>
      <c r="H23" s="2106"/>
      <c r="T23" s="2044" t="s">
        <v>2057</v>
      </c>
      <c r="U23" s="2045"/>
      <c r="V23" s="2045"/>
      <c r="W23" s="2045"/>
      <c r="X23" s="2060">
        <v>44501</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60549</v>
      </c>
      <c r="B25" s="2082"/>
      <c r="C25" s="2082"/>
      <c r="D25" s="2082"/>
      <c r="E25" s="2082"/>
      <c r="F25" s="2082"/>
      <c r="G25" s="2082"/>
      <c r="H25" s="2083"/>
      <c r="I25" s="110"/>
      <c r="J25" s="2148"/>
      <c r="K25" s="2148"/>
      <c r="L25" s="2148"/>
      <c r="M25" s="2148"/>
      <c r="N25" s="2148"/>
      <c r="O25" s="2148"/>
      <c r="P25" s="2148"/>
      <c r="Q25" s="2148"/>
      <c r="R25" s="2148"/>
      <c r="S25" s="2149"/>
      <c r="T25" s="2041" t="s">
        <v>2072</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2062</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v>8154962850</v>
      </c>
      <c r="B42" s="2131"/>
      <c r="C42" s="2132"/>
      <c r="D42" s="2145">
        <v>8154966630</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4600031</v>
      </c>
      <c r="C4" s="1722"/>
      <c r="D4" s="1723">
        <f>B4-C4</f>
        <v>4600031</v>
      </c>
      <c r="E4" s="1722">
        <v>4800017</v>
      </c>
      <c r="F4" s="1723">
        <f>E4-C4</f>
        <v>4800017</v>
      </c>
    </row>
    <row r="5" spans="1:8" ht="13.7" customHeight="1" x14ac:dyDescent="0.2">
      <c r="A5" s="579" t="s">
        <v>865</v>
      </c>
      <c r="B5" s="1724">
        <f>'Revenues 9-14'!D5</f>
        <v>799941</v>
      </c>
      <c r="C5" s="1664"/>
      <c r="D5" s="1725">
        <f t="shared" ref="D5:D18" si="0">B5-C5</f>
        <v>799941</v>
      </c>
      <c r="E5" s="1664">
        <v>852001</v>
      </c>
      <c r="F5" s="1725">
        <f>E5-C5</f>
        <v>852001</v>
      </c>
    </row>
    <row r="6" spans="1:8" ht="13.7" customHeight="1" x14ac:dyDescent="0.2">
      <c r="A6" s="579" t="s">
        <v>408</v>
      </c>
      <c r="B6" s="1724">
        <f>'Revenues 9-14'!E5</f>
        <v>863085</v>
      </c>
      <c r="C6" s="1664"/>
      <c r="D6" s="1725">
        <f t="shared" si="0"/>
        <v>863085</v>
      </c>
      <c r="E6" s="1664">
        <v>872746</v>
      </c>
      <c r="F6" s="1725">
        <f t="shared" ref="F6:F18" si="1">E6-C6</f>
        <v>872746</v>
      </c>
    </row>
    <row r="7" spans="1:8" ht="13.7" customHeight="1" x14ac:dyDescent="0.2">
      <c r="A7" s="579" t="s">
        <v>154</v>
      </c>
      <c r="B7" s="1724">
        <f>'Revenues 9-14'!F5</f>
        <v>299990</v>
      </c>
      <c r="C7" s="1664"/>
      <c r="D7" s="1725">
        <f t="shared" si="0"/>
        <v>299990</v>
      </c>
      <c r="E7" s="1664">
        <v>340004</v>
      </c>
      <c r="F7" s="1725">
        <f t="shared" si="1"/>
        <v>340004</v>
      </c>
    </row>
    <row r="8" spans="1:8" ht="13.7" customHeight="1" x14ac:dyDescent="0.2">
      <c r="A8" s="579" t="s">
        <v>1169</v>
      </c>
      <c r="B8" s="1724">
        <f>'Revenues 9-14'!G5</f>
        <v>100007</v>
      </c>
      <c r="C8" s="1664"/>
      <c r="D8" s="1725">
        <f t="shared" si="0"/>
        <v>100007</v>
      </c>
      <c r="E8" s="1664">
        <v>105011</v>
      </c>
      <c r="F8" s="1725">
        <f t="shared" si="1"/>
        <v>105011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80005</v>
      </c>
      <c r="C10" s="1664"/>
      <c r="D10" s="1725">
        <f t="shared" si="0"/>
        <v>80005</v>
      </c>
      <c r="E10" s="1664">
        <v>85014</v>
      </c>
      <c r="F10" s="1725">
        <f t="shared" si="1"/>
        <v>85014</v>
      </c>
    </row>
    <row r="11" spans="1:8" x14ac:dyDescent="0.2">
      <c r="A11" s="579" t="s">
        <v>406</v>
      </c>
      <c r="B11" s="1724">
        <f>'Revenues 9-14'!J5</f>
        <v>270043</v>
      </c>
      <c r="C11" s="1664"/>
      <c r="D11" s="1725">
        <f t="shared" si="0"/>
        <v>270043</v>
      </c>
      <c r="E11" s="1664">
        <v>280013</v>
      </c>
      <c r="F11" s="1725">
        <f t="shared" si="1"/>
        <v>280013</v>
      </c>
    </row>
    <row r="12" spans="1:8" ht="13.7" customHeight="1" x14ac:dyDescent="0.2">
      <c r="A12" s="579" t="s">
        <v>156</v>
      </c>
      <c r="B12" s="1724">
        <f>'Revenues 9-14'!K5</f>
        <v>80005</v>
      </c>
      <c r="C12" s="1664"/>
      <c r="D12" s="1725">
        <f t="shared" si="0"/>
        <v>80005</v>
      </c>
      <c r="E12" s="1664">
        <v>85014</v>
      </c>
      <c r="F12" s="1725">
        <f t="shared" si="1"/>
        <v>85014</v>
      </c>
    </row>
    <row r="13" spans="1:8" ht="13.7" customHeight="1" x14ac:dyDescent="0.2">
      <c r="A13" s="579" t="s">
        <v>930</v>
      </c>
      <c r="B13" s="1724">
        <f>SUM('Revenues 9-14'!C6:D6)</f>
        <v>80005</v>
      </c>
      <c r="C13" s="1664"/>
      <c r="D13" s="1725">
        <f t="shared" si="0"/>
        <v>80005</v>
      </c>
      <c r="E13" s="1664">
        <v>85014</v>
      </c>
      <c r="F13" s="1725">
        <f t="shared" si="1"/>
        <v>85014</v>
      </c>
    </row>
    <row r="14" spans="1:8" ht="13.7" customHeight="1" x14ac:dyDescent="0.2">
      <c r="A14" s="579" t="s">
        <v>407</v>
      </c>
      <c r="B14" s="1724">
        <f>SUM('Revenues 9-14'!C7:D7,'Revenues 9-14'!F7:H7)</f>
        <v>65562</v>
      </c>
      <c r="C14" s="1664"/>
      <c r="D14" s="1725">
        <f t="shared" si="0"/>
        <v>65562</v>
      </c>
      <c r="E14" s="1664">
        <v>68008</v>
      </c>
      <c r="F14" s="1725">
        <f t="shared" si="1"/>
        <v>68008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175017</v>
      </c>
      <c r="C16" s="1664"/>
      <c r="D16" s="1725">
        <f t="shared" si="0"/>
        <v>175017</v>
      </c>
      <c r="E16" s="1664">
        <v>177001</v>
      </c>
      <c r="F16" s="1725">
        <f t="shared" si="1"/>
        <v>177001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7413691</v>
      </c>
      <c r="C19" s="1726">
        <f>SUM(C4:C18)</f>
        <v>0</v>
      </c>
      <c r="D19" s="1726">
        <f>SUM(D4:D18)</f>
        <v>7413691</v>
      </c>
      <c r="E19" s="1726">
        <f>SUM(E4:E18)</f>
        <v>7749843</v>
      </c>
      <c r="F19" s="1726">
        <f>SUM(F4:F18)</f>
        <v>7749843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40330</v>
      </c>
      <c r="C31" s="1734">
        <v>3710000</v>
      </c>
      <c r="D31" s="1735">
        <v>3</v>
      </c>
      <c r="E31" s="1734">
        <v>1090000</v>
      </c>
      <c r="F31" s="1734"/>
      <c r="G31" s="1734"/>
      <c r="H31" s="1734">
        <v>580000</v>
      </c>
      <c r="I31" s="1736">
        <f>((E31+F31)-H31)+G31</f>
        <v>510000</v>
      </c>
      <c r="J31" s="1734">
        <f>510000-114363</f>
        <v>395637</v>
      </c>
      <c r="K31" s="596"/>
    </row>
    <row r="32" spans="1:11" ht="12" customHeight="1" x14ac:dyDescent="0.2">
      <c r="A32" s="594" t="s">
        <v>2074</v>
      </c>
      <c r="B32" s="595">
        <v>41091</v>
      </c>
      <c r="C32" s="1734">
        <v>825000</v>
      </c>
      <c r="D32" s="1735">
        <v>3</v>
      </c>
      <c r="E32" s="1734">
        <v>170000</v>
      </c>
      <c r="F32" s="1734"/>
      <c r="G32" s="1734"/>
      <c r="H32" s="1734">
        <v>130000</v>
      </c>
      <c r="I32" s="1736">
        <f>((E32+F32)-H32)+G32</f>
        <v>40000</v>
      </c>
      <c r="J32" s="1734">
        <f>40000-4750</f>
        <v>35250</v>
      </c>
      <c r="K32" s="596"/>
    </row>
    <row r="33" spans="1:11" ht="12" customHeight="1" x14ac:dyDescent="0.2">
      <c r="A33" s="594" t="s">
        <v>2075</v>
      </c>
      <c r="B33" s="595">
        <v>42052</v>
      </c>
      <c r="C33" s="1734">
        <v>1535000</v>
      </c>
      <c r="D33" s="1735">
        <v>3</v>
      </c>
      <c r="E33" s="1734">
        <v>1480000</v>
      </c>
      <c r="F33" s="1734"/>
      <c r="G33" s="1734"/>
      <c r="H33" s="1734">
        <v>30000</v>
      </c>
      <c r="I33" s="1736">
        <f t="shared" ref="I33:I48" si="1">((E33+F33)-H33)+G33</f>
        <v>1450000</v>
      </c>
      <c r="J33" s="1734">
        <f>1450000-5157</f>
        <v>1444843</v>
      </c>
      <c r="K33" s="596"/>
    </row>
    <row r="34" spans="1:11" ht="12" customHeight="1" x14ac:dyDescent="0.2">
      <c r="A34" s="594" t="s">
        <v>2077</v>
      </c>
      <c r="B34" s="595">
        <v>42052</v>
      </c>
      <c r="C34" s="1734">
        <v>325000</v>
      </c>
      <c r="D34" s="1735">
        <v>3</v>
      </c>
      <c r="E34" s="1734"/>
      <c r="F34" s="1734"/>
      <c r="G34" s="1734"/>
      <c r="H34" s="1734"/>
      <c r="I34" s="1736">
        <f t="shared" si="1"/>
        <v>0</v>
      </c>
      <c r="J34" s="1734">
        <v>-64</v>
      </c>
      <c r="K34" s="597"/>
    </row>
    <row r="35" spans="1:11" ht="12" customHeight="1" x14ac:dyDescent="0.2">
      <c r="A35" s="594" t="s">
        <v>2076</v>
      </c>
      <c r="B35" s="595">
        <v>43039</v>
      </c>
      <c r="C35" s="1737">
        <v>1310000</v>
      </c>
      <c r="D35" s="1735">
        <v>3</v>
      </c>
      <c r="E35" s="1737">
        <v>1280000</v>
      </c>
      <c r="F35" s="1737"/>
      <c r="G35" s="1737"/>
      <c r="H35" s="1737">
        <v>5000</v>
      </c>
      <c r="I35" s="1736">
        <f t="shared" si="1"/>
        <v>1275000</v>
      </c>
      <c r="J35" s="1737">
        <f>1275000-1207</f>
        <v>1273793</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7705000</v>
      </c>
      <c r="D49" s="1742"/>
      <c r="E49" s="1736">
        <f t="shared" ref="E49:J49" si="2">SUM(E31:E48)</f>
        <v>4020000</v>
      </c>
      <c r="F49" s="1736">
        <f t="shared" si="2"/>
        <v>0</v>
      </c>
      <c r="G49" s="1736">
        <f t="shared" si="2"/>
        <v>0</v>
      </c>
      <c r="H49" s="1736">
        <f t="shared" si="2"/>
        <v>745000</v>
      </c>
      <c r="I49" s="1736">
        <f t="shared" si="2"/>
        <v>3275000</v>
      </c>
      <c r="J49" s="1736">
        <f t="shared" si="2"/>
        <v>3149459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65562</v>
      </c>
      <c r="I5" s="1750"/>
      <c r="J5" s="1751"/>
      <c r="K5" s="1751"/>
    </row>
    <row r="6" spans="1:11" x14ac:dyDescent="0.2">
      <c r="A6" s="625" t="s">
        <v>715</v>
      </c>
      <c r="B6" s="626"/>
      <c r="C6" s="626"/>
      <c r="D6" s="626"/>
      <c r="E6" s="627"/>
      <c r="F6" s="628" t="s">
        <v>844</v>
      </c>
      <c r="G6" s="1744"/>
      <c r="H6" s="1744">
        <v>58</v>
      </c>
      <c r="I6" s="1744"/>
      <c r="J6" s="1745"/>
      <c r="K6" s="1745"/>
    </row>
    <row r="7" spans="1:11" x14ac:dyDescent="0.2">
      <c r="A7" s="629" t="s">
        <v>244</v>
      </c>
      <c r="B7" s="630"/>
      <c r="C7" s="630"/>
      <c r="D7" s="630"/>
      <c r="E7" s="631"/>
      <c r="F7" s="622" t="s">
        <v>845</v>
      </c>
      <c r="G7" s="1746"/>
      <c r="H7" s="1746"/>
      <c r="I7" s="1746"/>
      <c r="J7" s="1752"/>
      <c r="K7" s="1745">
        <v>4438</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6522</v>
      </c>
    </row>
    <row r="10" spans="1:11" x14ac:dyDescent="0.2">
      <c r="A10" s="2348" t="s">
        <v>1789</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65620</v>
      </c>
      <c r="I12" s="1755">
        <f>SUM(I5:I11)</f>
        <v>0</v>
      </c>
      <c r="J12" s="1755">
        <f>SUM(J5:J11)</f>
        <v>0</v>
      </c>
      <c r="K12" s="1755">
        <f>SUM(K5:K11)</f>
        <v>10960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65620</v>
      </c>
      <c r="I14" s="1749"/>
      <c r="J14" s="1751"/>
      <c r="K14" s="1745">
        <v>10960</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1785</v>
      </c>
      <c r="B19" s="2356"/>
      <c r="C19" s="2356"/>
      <c r="D19" s="2356"/>
      <c r="E19" s="2357"/>
      <c r="F19" s="635" t="s">
        <v>927</v>
      </c>
      <c r="G19" s="1753"/>
      <c r="H19" s="1753"/>
      <c r="I19" s="1753"/>
      <c r="J19" s="1745"/>
      <c r="K19" s="1763"/>
    </row>
    <row r="20" spans="1:15" x14ac:dyDescent="0.2">
      <c r="A20" s="2333" t="s">
        <v>1790</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1791</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65620</v>
      </c>
      <c r="I23" s="1755">
        <f>SUM(I14:I16,I21,I22)</f>
        <v>0</v>
      </c>
      <c r="J23" s="1755">
        <f>SUM(J14:J16,J21,J22)</f>
        <v>0</v>
      </c>
      <c r="K23" s="1755">
        <f>SUM(K14:K16,K21,K22)</f>
        <v>10960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398401</v>
      </c>
      <c r="D5" s="1770"/>
      <c r="E5" s="1770"/>
      <c r="F5" s="1765">
        <f>(C5+D5)-E5</f>
        <v>398401</v>
      </c>
      <c r="G5" s="676"/>
      <c r="H5" s="680"/>
      <c r="I5" s="680"/>
      <c r="J5" s="680"/>
      <c r="K5" s="637"/>
      <c r="L5" s="1442">
        <f>F5-K5</f>
        <v>398401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14212033</v>
      </c>
      <c r="D8" s="1771">
        <v>142800</v>
      </c>
      <c r="E8" s="1771"/>
      <c r="F8" s="1765">
        <f>(C8+D8)-E8</f>
        <v>14354833</v>
      </c>
      <c r="G8" s="681">
        <v>50</v>
      </c>
      <c r="H8" s="619">
        <v>6005643</v>
      </c>
      <c r="I8" s="619">
        <v>241717</v>
      </c>
      <c r="J8" s="619"/>
      <c r="K8" s="1442">
        <f>(H8+I8)-J8</f>
        <v>6247360</v>
      </c>
      <c r="L8" s="1442">
        <f>F8-K8</f>
        <v>8107473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191668</v>
      </c>
      <c r="D10" s="1772">
        <v>40180</v>
      </c>
      <c r="E10" s="1772"/>
      <c r="F10" s="1773">
        <f>(C10+D10)-E10</f>
        <v>231848</v>
      </c>
      <c r="G10" s="681">
        <v>20</v>
      </c>
      <c r="H10" s="683">
        <v>165965</v>
      </c>
      <c r="I10" s="683">
        <v>4134</v>
      </c>
      <c r="J10" s="683"/>
      <c r="K10" s="1442">
        <f>(H10+I10)-J10</f>
        <v>170099</v>
      </c>
      <c r="L10" s="1442">
        <f>F10-K10</f>
        <v>61749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441714</v>
      </c>
      <c r="D12" s="1771">
        <v>58116</v>
      </c>
      <c r="E12" s="1771">
        <v>17774</v>
      </c>
      <c r="F12" s="1765">
        <f>(C12+D12)-E12</f>
        <v>482056</v>
      </c>
      <c r="G12" s="681">
        <v>10</v>
      </c>
      <c r="H12" s="619">
        <v>221678</v>
      </c>
      <c r="I12" s="619">
        <v>48205</v>
      </c>
      <c r="J12" s="619">
        <v>17774</v>
      </c>
      <c r="K12" s="1442">
        <f>(H12+I12)-J12</f>
        <v>252109</v>
      </c>
      <c r="L12" s="1442">
        <f>F12-K12</f>
        <v>229947</v>
      </c>
    </row>
    <row r="13" spans="1:14" ht="14.25" thickTop="1" thickBot="1" x14ac:dyDescent="0.25">
      <c r="A13" s="684" t="s">
        <v>1112</v>
      </c>
      <c r="B13" s="679">
        <v>252</v>
      </c>
      <c r="C13" s="1771">
        <v>335369</v>
      </c>
      <c r="D13" s="1771">
        <v>6106</v>
      </c>
      <c r="E13" s="1771">
        <v>45500</v>
      </c>
      <c r="F13" s="1765">
        <f>(C13+D13)-E13</f>
        <v>295975</v>
      </c>
      <c r="G13" s="681">
        <v>5</v>
      </c>
      <c r="H13" s="619">
        <v>239159</v>
      </c>
      <c r="I13" s="619">
        <v>17197</v>
      </c>
      <c r="J13" s="619">
        <v>9100</v>
      </c>
      <c r="K13" s="1442">
        <f>(H13+I13)-J13</f>
        <v>247256</v>
      </c>
      <c r="L13" s="1442">
        <f>F13-K13</f>
        <v>48719</v>
      </c>
    </row>
    <row r="14" spans="1:14" ht="14.25" thickTop="1" thickBot="1" x14ac:dyDescent="0.25">
      <c r="A14" s="684" t="s">
        <v>1113</v>
      </c>
      <c r="B14" s="679">
        <v>253</v>
      </c>
      <c r="C14" s="1745"/>
      <c r="D14" s="1745">
        <v>1618</v>
      </c>
      <c r="E14" s="1745"/>
      <c r="F14" s="1765">
        <f>(C14+D14)-E14</f>
        <v>1618</v>
      </c>
      <c r="G14" s="681">
        <v>3</v>
      </c>
      <c r="H14" s="619"/>
      <c r="I14" s="619">
        <v>539</v>
      </c>
      <c r="J14" s="619"/>
      <c r="K14" s="1442">
        <f>(H14+I14)-J14</f>
        <v>539</v>
      </c>
      <c r="L14" s="1442">
        <f>F14-K14</f>
        <v>1079</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15579185</v>
      </c>
      <c r="D16" s="1765">
        <f>SUM(D3,D5:D6,D8:D10,D12:D15)</f>
        <v>248820</v>
      </c>
      <c r="E16" s="1765">
        <f>SUM(E3,E5:E6,E8:E10,E12:E15)</f>
        <v>63274</v>
      </c>
      <c r="F16" s="1765">
        <f>SUM(F3,F5:F6,F8:F10,F12:F15)</f>
        <v>15764731</v>
      </c>
      <c r="G16" s="681"/>
      <c r="H16" s="1435">
        <f>SUM(H3,H6,H8:H10,H12:H14,)</f>
        <v>6632445</v>
      </c>
      <c r="I16" s="1435">
        <f>SUM(I3,I6,I8:I10,I12:I14,)</f>
        <v>311792</v>
      </c>
      <c r="J16" s="1435">
        <f>SUM(J3,J6,J8:J10,J12:J14,)</f>
        <v>26874</v>
      </c>
      <c r="K16" s="1435">
        <f>(H16+I16)-J16</f>
        <v>6917363</v>
      </c>
      <c r="L16" s="1435">
        <f>F16-K16</f>
        <v>8847368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31351</v>
      </c>
      <c r="G17" s="676">
        <v>10</v>
      </c>
      <c r="H17" s="621"/>
      <c r="I17" s="1442">
        <f>F17/G17</f>
        <v>3135.1</v>
      </c>
      <c r="J17" s="621"/>
      <c r="K17" s="638"/>
      <c r="L17" s="638"/>
    </row>
    <row r="18" spans="1:12" ht="14.25" thickTop="1" thickBot="1" x14ac:dyDescent="0.25">
      <c r="A18" s="1440" t="s">
        <v>680</v>
      </c>
      <c r="B18" s="1441"/>
      <c r="C18" s="623"/>
      <c r="D18" s="623"/>
      <c r="E18" s="623"/>
      <c r="F18" s="686"/>
      <c r="G18" s="687"/>
      <c r="H18" s="624"/>
      <c r="I18" s="1435">
        <f>SUM(I16,I17)</f>
        <v>314927.09999999998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7531601</v>
      </c>
      <c r="G8" s="701"/>
    </row>
    <row r="9" spans="1:9" x14ac:dyDescent="0.2">
      <c r="A9" s="705" t="s">
        <v>457</v>
      </c>
      <c r="B9" s="706" t="s">
        <v>1847</v>
      </c>
      <c r="C9" s="707"/>
      <c r="D9" s="705" t="s">
        <v>498</v>
      </c>
      <c r="E9" s="704"/>
      <c r="F9" s="1775">
        <f>'Expenditures 15-22'!K151</f>
        <v>823110</v>
      </c>
      <c r="G9" s="708"/>
    </row>
    <row r="10" spans="1:9" x14ac:dyDescent="0.2">
      <c r="A10" s="705" t="s">
        <v>496</v>
      </c>
      <c r="B10" s="706" t="s">
        <v>1848</v>
      </c>
      <c r="C10" s="707"/>
      <c r="D10" s="705" t="s">
        <v>498</v>
      </c>
      <c r="E10" s="704"/>
      <c r="F10" s="1775">
        <f>'Expenditures 15-22'!K174</f>
        <v>864975</v>
      </c>
      <c r="G10" s="708"/>
    </row>
    <row r="11" spans="1:9" x14ac:dyDescent="0.2">
      <c r="A11" s="705" t="s">
        <v>458</v>
      </c>
      <c r="B11" s="706" t="s">
        <v>1849</v>
      </c>
      <c r="C11" s="707"/>
      <c r="D11" s="705" t="s">
        <v>498</v>
      </c>
      <c r="E11" s="704"/>
      <c r="F11" s="1775">
        <f>'Expenditures 15-22'!K210</f>
        <v>605340</v>
      </c>
      <c r="G11" s="708"/>
    </row>
    <row r="12" spans="1:9" x14ac:dyDescent="0.2">
      <c r="A12" s="705" t="s">
        <v>459</v>
      </c>
      <c r="B12" s="706" t="s">
        <v>1850</v>
      </c>
      <c r="C12" s="707"/>
      <c r="D12" s="705" t="s">
        <v>498</v>
      </c>
      <c r="E12" s="704"/>
      <c r="F12" s="1775">
        <f>'Expenditures 15-22'!K295</f>
        <v>255713</v>
      </c>
      <c r="G12" s="708"/>
    </row>
    <row r="13" spans="1:9" x14ac:dyDescent="0.2">
      <c r="A13" s="705" t="s">
        <v>106</v>
      </c>
      <c r="B13" s="706" t="s">
        <v>1851</v>
      </c>
      <c r="C13" s="707"/>
      <c r="D13" s="705" t="s">
        <v>498</v>
      </c>
      <c r="E13" s="704"/>
      <c r="F13" s="1775">
        <f>'Expenditures 15-22'!K342</f>
        <v>430430</v>
      </c>
      <c r="G13" s="709"/>
    </row>
    <row r="14" spans="1:9" ht="12" customHeight="1" thickBot="1" x14ac:dyDescent="0.25">
      <c r="A14" s="1443"/>
      <c r="B14" s="1444"/>
      <c r="C14" s="1445"/>
      <c r="D14" s="1446" t="s">
        <v>498</v>
      </c>
      <c r="E14" s="1447" t="s">
        <v>952</v>
      </c>
      <c r="F14" s="1776">
        <f>SUM(F8:F13)</f>
        <v>10511169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30040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71619</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2961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221867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1113</v>
      </c>
      <c r="G52" s="701"/>
    </row>
    <row r="53" spans="1:7" x14ac:dyDescent="0.2">
      <c r="A53" s="705" t="s">
        <v>456</v>
      </c>
      <c r="B53" s="705" t="s">
        <v>1458</v>
      </c>
      <c r="C53" s="724">
        <f>'Expenditures 15-22'!B102</f>
        <v>4000</v>
      </c>
      <c r="D53" s="723" t="str">
        <f>'Expenditures 15-22'!A102</f>
        <v>Total Payments to Other Govt Units</v>
      </c>
      <c r="E53" s="704"/>
      <c r="F53" s="1782">
        <f>'Expenditures 15-22'!K102</f>
        <v>230746</v>
      </c>
      <c r="G53" s="701"/>
    </row>
    <row r="54" spans="1:7" x14ac:dyDescent="0.2">
      <c r="A54" s="705" t="s">
        <v>456</v>
      </c>
      <c r="B54" s="705" t="s">
        <v>1459</v>
      </c>
      <c r="C54" s="724" t="s">
        <v>975</v>
      </c>
      <c r="D54" s="720" t="s">
        <v>1086</v>
      </c>
      <c r="E54" s="704"/>
      <c r="F54" s="1782">
        <f>'Expenditures 15-22'!G114</f>
        <v>19206</v>
      </c>
      <c r="G54" s="701"/>
    </row>
    <row r="55" spans="1:7" x14ac:dyDescent="0.2">
      <c r="A55" s="705" t="s">
        <v>456</v>
      </c>
      <c r="B55" s="705" t="s">
        <v>1460</v>
      </c>
      <c r="C55" s="724" t="s">
        <v>975</v>
      </c>
      <c r="D55" s="720" t="s">
        <v>288</v>
      </c>
      <c r="E55" s="704"/>
      <c r="F55" s="1782">
        <f>'Expenditures 15-22'!I114</f>
        <v>30441</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66830</v>
      </c>
      <c r="G58" s="701"/>
    </row>
    <row r="59" spans="1:7" x14ac:dyDescent="0.2">
      <c r="A59" s="728" t="s">
        <v>457</v>
      </c>
      <c r="B59" s="692" t="s">
        <v>1854</v>
      </c>
      <c r="C59" s="729" t="s">
        <v>975</v>
      </c>
      <c r="D59" s="692" t="s">
        <v>288</v>
      </c>
      <c r="F59" s="1785">
        <f>'Expenditures 15-22'!I151</f>
        <v>910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745000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2376</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7724</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294</v>
      </c>
      <c r="G67" s="701"/>
    </row>
    <row r="68" spans="1:9" x14ac:dyDescent="0.2">
      <c r="A68" s="705" t="s">
        <v>459</v>
      </c>
      <c r="B68" s="705" t="s">
        <v>1462</v>
      </c>
      <c r="C68" s="721" t="str">
        <f>'Expenditures 15-22'!B218</f>
        <v>1225</v>
      </c>
      <c r="D68" s="727" t="str">
        <f>'Expenditures 15-22'!A218</f>
        <v>Special Education Programs - Pre-K</v>
      </c>
      <c r="E68" s="704"/>
      <c r="F68" s="1782">
        <f>'Expenditures 15-22'!K218</f>
        <v>1383</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38</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1432548</v>
      </c>
      <c r="G77" s="701"/>
    </row>
    <row r="78" spans="1:9" s="728" customFormat="1" ht="12" customHeight="1" thickTop="1" thickBot="1" x14ac:dyDescent="0.25">
      <c r="A78" s="1450"/>
      <c r="B78" s="1448"/>
      <c r="C78" s="1445"/>
      <c r="D78" s="1449" t="s">
        <v>2011</v>
      </c>
      <c r="E78" s="1447"/>
      <c r="F78" s="1788">
        <f>(F14-F77)</f>
        <v>9078621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542.20000000000005</v>
      </c>
      <c r="G79" s="733"/>
      <c r="H79" s="705"/>
      <c r="I79" s="705"/>
    </row>
    <row r="80" spans="1:9" s="728" customFormat="1" ht="12" customHeight="1" thickBot="1" x14ac:dyDescent="0.25">
      <c r="A80" s="1452"/>
      <c r="B80" s="1448"/>
      <c r="C80" s="1445"/>
      <c r="D80" s="1449" t="s">
        <v>2012</v>
      </c>
      <c r="E80" s="1447" t="s">
        <v>952</v>
      </c>
      <c r="F80" s="1790">
        <f>IF(F79&gt;0,F78/F79," Complete Line 79")</f>
        <v>16744.044632976758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101759</v>
      </c>
      <c r="G95" s="745"/>
    </row>
    <row r="96" spans="1:7" x14ac:dyDescent="0.2">
      <c r="A96" s="741" t="s">
        <v>139</v>
      </c>
      <c r="B96" s="741" t="s">
        <v>174</v>
      </c>
      <c r="C96" s="743">
        <v>1700</v>
      </c>
      <c r="D96" s="751" t="str">
        <f>'Revenues 9-14'!A82</f>
        <v>Total District/School Activity Income</v>
      </c>
      <c r="E96" s="739"/>
      <c r="F96" s="1793">
        <f>SUM('Revenues 9-14'!C82,'Revenues 9-14'!D82)</f>
        <v>36803</v>
      </c>
      <c r="G96" s="745"/>
    </row>
    <row r="97" spans="1:7" x14ac:dyDescent="0.2">
      <c r="A97" s="741" t="s">
        <v>456</v>
      </c>
      <c r="B97" s="741" t="s">
        <v>175</v>
      </c>
      <c r="C97" s="743">
        <f>'Revenues 9-14'!B84</f>
        <v>1811</v>
      </c>
      <c r="D97" s="744" t="str">
        <f>'Revenues 9-14'!A84</f>
        <v>Rentals - Regular Textbooks</v>
      </c>
      <c r="E97" s="739"/>
      <c r="F97" s="1793">
        <f>'Revenues 9-14'!C84</f>
        <v>16042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1360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6894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113041</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21434</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1258</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6522</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360221</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101291</v>
      </c>
      <c r="G126" s="763"/>
    </row>
    <row r="127" spans="1:7" x14ac:dyDescent="0.2">
      <c r="A127" s="760" t="s">
        <v>663</v>
      </c>
      <c r="B127" s="760" t="s">
        <v>1930</v>
      </c>
      <c r="C127" s="765">
        <v>4300</v>
      </c>
      <c r="D127" s="766" t="str">
        <f>'Revenues 9-14'!A204</f>
        <v>Total Title I</v>
      </c>
      <c r="E127" s="739"/>
      <c r="F127" s="1793">
        <f>SUM('Revenues 9-14'!C204,'Revenues 9-14'!D204,'Revenues 9-14'!F204,'Revenues 9-14'!G204)</f>
        <v>92129</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88453</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360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21743</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16600</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19495</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228719.47</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1284209.47</v>
      </c>
    </row>
    <row r="176" spans="1:7" ht="12" customHeight="1" x14ac:dyDescent="0.2">
      <c r="A176" s="1443"/>
      <c r="B176" s="1453"/>
      <c r="C176" s="1454"/>
      <c r="D176" s="1455" t="s">
        <v>2013</v>
      </c>
      <c r="E176" s="1456"/>
      <c r="F176" s="1793">
        <f>'PCTC-OEPP 27-28'!F78-F175</f>
        <v>7794411.5300000003</v>
      </c>
    </row>
    <row r="177" spans="1:9" ht="12" customHeight="1" x14ac:dyDescent="0.2">
      <c r="A177" s="1443"/>
      <c r="B177" s="1453"/>
      <c r="C177" s="1454"/>
      <c r="D177" s="1455" t="s">
        <v>1793</v>
      </c>
      <c r="E177" s="1456"/>
      <c r="F177" s="1793">
        <f>'Cap Outlay Deprec 26'!I18</f>
        <v>314927.09999999998</v>
      </c>
    </row>
    <row r="178" spans="1:9" ht="12" customHeight="1" x14ac:dyDescent="0.2">
      <c r="A178" s="1443"/>
      <c r="B178" s="1453"/>
      <c r="C178" s="1454"/>
      <c r="D178" s="1455" t="s">
        <v>2014</v>
      </c>
      <c r="E178" s="1456"/>
      <c r="F178" s="1793">
        <f>F176+F177</f>
        <v>8109338.6299999999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542.20000000000005</v>
      </c>
      <c r="G179" s="763"/>
      <c r="I179" s="701"/>
    </row>
    <row r="180" spans="1:9" ht="12" customHeight="1" thickBot="1" x14ac:dyDescent="0.25">
      <c r="A180" s="1443"/>
      <c r="B180" s="1457"/>
      <c r="C180" s="1454"/>
      <c r="D180" s="1455" t="s">
        <v>2016</v>
      </c>
      <c r="E180" s="1456" t="s">
        <v>1528</v>
      </c>
      <c r="F180" s="1798">
        <f>F178/F179</f>
        <v>14956.360438952415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6" t="s">
        <v>2078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115080</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22101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5341826</v>
      </c>
      <c r="F19" s="1802"/>
      <c r="G19" s="1804">
        <f>'Expenditures 15-22'!K33-SUM('Expenditures 15-22'!G33,'Expenditures 15-22'!I33)+'Expenditures 15-22'!D229</f>
        <v>5341826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362794</v>
      </c>
      <c r="F21" s="1805"/>
      <c r="G21" s="1808">
        <f>'Expenditures 15-22'!K42-SUM('Expenditures 15-22'!G42,'Expenditures 15-22'!I42)+'Expenditures 15-22'!K120-SUM('Expenditures 15-22'!G120,'Expenditures 15-22'!I120)+'Expenditures 15-22'!K180-SUM('Expenditures 15-22'!G180,'Expenditures 15-22'!I180)+'Expenditures 15-22'!D238</f>
        <v>362794</v>
      </c>
      <c r="H21" s="817"/>
      <c r="I21" s="157"/>
    </row>
    <row r="22" spans="1:9" s="542" customFormat="1" ht="12" customHeight="1" x14ac:dyDescent="0.2">
      <c r="A22" s="824" t="s">
        <v>560</v>
      </c>
      <c r="B22" s="825"/>
      <c r="C22" s="823">
        <v>2200</v>
      </c>
      <c r="D22" s="1805"/>
      <c r="E22" s="1807">
        <f>'Expenditures 15-22'!K47-SUM('Expenditures 15-22'!G47,'Expenditures 15-22'!I47)+'Expenditures 15-22'!D243</f>
        <v>435972</v>
      </c>
      <c r="F22" s="1805"/>
      <c r="G22" s="1808">
        <f>'Expenditures 15-22'!K47-SUM('Expenditures 15-22'!G47,'Expenditures 15-22'!I47)+'Expenditures 15-22'!D243</f>
        <v>435972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725651</v>
      </c>
      <c r="F23" s="1805"/>
      <c r="G23" s="1807">
        <f>'Expenditures 15-22'!K53-SUM('Expenditures 15-22'!G53,'Expenditures 15-22'!I53)+'Expenditures 15-22'!D257+'Expenditures 15-22'!K330-SUM('Expenditures 15-22'!G330,'Expenditures 15-22'!I330)</f>
        <v>725651</v>
      </c>
      <c r="H23" s="817"/>
      <c r="I23" s="157"/>
    </row>
    <row r="24" spans="1:9" s="542" customFormat="1" ht="12" customHeight="1" x14ac:dyDescent="0.2">
      <c r="A24" s="824" t="s">
        <v>562</v>
      </c>
      <c r="B24" s="825"/>
      <c r="C24" s="823">
        <v>2400</v>
      </c>
      <c r="D24" s="1805"/>
      <c r="E24" s="1807">
        <f>'Expenditures 15-22'!K57-SUM('Expenditures 15-22'!G57,'Expenditures 15-22'!I57)+'Expenditures 15-22'!D261</f>
        <v>569384</v>
      </c>
      <c r="F24" s="1805"/>
      <c r="G24" s="1808">
        <f>'Expenditures 15-22'!K57-SUM('Expenditures 15-22'!G57,'Expenditures 15-22'!I57)+'Expenditures 15-22'!D261</f>
        <v>569384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102570</v>
      </c>
      <c r="E26" s="1807">
        <f>'Expenditures 15-22'!K122-SUM('Expenditures 15-22'!G122,'Expenditures 15-22'!I122)+E7</f>
        <v>0</v>
      </c>
      <c r="F26" s="1807">
        <f>'Expenditures 15-22'!K59-SUM('Expenditures 15-22'!G59,'Expenditures 15-22'!I59)+'Expenditures 15-22'!D263-E7</f>
        <v>102570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16765</v>
      </c>
      <c r="E27" s="1807">
        <f>E8</f>
        <v>0</v>
      </c>
      <c r="F27" s="1807">
        <f>'Expenditures 15-22'!K60-SUM('Expenditures 15-22'!G60,'Expenditures 15-22'!I60)+'Expenditures 15-22'!D264-E8</f>
        <v>16765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794614</v>
      </c>
      <c r="F28" s="1809">
        <f>'Expenditures 15-22'!K61-SUM('Expenditures 15-22'!G61,'Expenditures 15-22'!I61)+'Expenditures 15-22'!K124-SUM('Expenditures 15-22'!G124,'Expenditures 15-22'!I124)+'Expenditures 15-22'!D266-E9</f>
        <v>794614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617960</v>
      </c>
      <c r="F29" s="1805"/>
      <c r="G29" s="1808">
        <f>'Expenditures 15-22'!K62-SUM('Expenditures 15-22'!G62,'Expenditures 15-22'!I62)+'Expenditures 15-22'!K125-SUM('Expenditures 15-22'!G125,'Expenditures 15-22'!I125)+'Expenditures 15-22'!K182-SUM('Expenditures 15-22'!G182,'Expenditures 15-22'!I182)+'Expenditures 15-22'!D267</f>
        <v>617960</v>
      </c>
      <c r="H29" s="815"/>
    </row>
    <row r="30" spans="1:9" ht="12" customHeight="1" x14ac:dyDescent="0.2">
      <c r="A30" s="824" t="s">
        <v>100</v>
      </c>
      <c r="B30" s="827"/>
      <c r="C30" s="823">
        <v>2560</v>
      </c>
      <c r="D30" s="1805"/>
      <c r="E30" s="1807">
        <f>'Expenditures 15-22'!K63-SUM('Expenditures 15-22'!G63,'Expenditures 15-22'!I63)+'Expenditures 15-22'!D268-E10</f>
        <v>204232</v>
      </c>
      <c r="F30" s="1805"/>
      <c r="G30" s="1807">
        <f>'Expenditures 15-22'!K63-SUM('Expenditures 15-22'!G63,'Expenditures 15-22'!I63)+'Expenditures 15-22'!D268-E10</f>
        <v>204232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1113</v>
      </c>
      <c r="F39" s="1805"/>
      <c r="G39" s="1807">
        <f>'Expenditures 15-22'!K75-SUM('Expenditures 15-22'!G75,'Expenditures 15-22'!I75)+'Expenditures 15-22'!K130-SUM('Expenditures 15-22'!G130,'Expenditures 15-22'!I130)+'Expenditures 15-22'!K185-SUM('Expenditures 15-22'!G185,'Expenditures 15-22'!I185)+'Expenditures 15-22'!D280</f>
        <v>1113</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119335</v>
      </c>
      <c r="E41" s="1809">
        <f>SUM(E19:E40)</f>
        <v>9053546</v>
      </c>
      <c r="F41" s="1809">
        <f>SUM(F19:F39)</f>
        <v>913949</v>
      </c>
      <c r="G41" s="1809">
        <f>SUM(G19:G40)</f>
        <v>8258932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119335</v>
      </c>
      <c r="F43" s="1458" t="s">
        <v>470</v>
      </c>
      <c r="G43" s="1810">
        <f>F41</f>
        <v>913949</v>
      </c>
    </row>
    <row r="44" spans="1:7" ht="12" customHeight="1" x14ac:dyDescent="0.2">
      <c r="A44" s="817"/>
      <c r="B44" s="157"/>
      <c r="C44" s="831"/>
      <c r="D44" s="1458" t="s">
        <v>471</v>
      </c>
      <c r="E44" s="1810">
        <f>E41</f>
        <v>9053546</v>
      </c>
      <c r="F44" s="1458" t="s">
        <v>471</v>
      </c>
      <c r="G44" s="1810">
        <f>G41</f>
        <v>8258932</v>
      </c>
    </row>
    <row r="45" spans="1:7" ht="12" customHeight="1" x14ac:dyDescent="0.2">
      <c r="A45" s="817"/>
      <c r="B45" s="157"/>
      <c r="C45" s="157"/>
      <c r="D45" s="1459" t="s">
        <v>999</v>
      </c>
      <c r="E45" s="1811">
        <f>(E43/E44)</f>
        <v>1.3181023214550409E-2</v>
      </c>
      <c r="F45" s="1459" t="s">
        <v>999</v>
      </c>
      <c r="G45" s="1811">
        <f>(G43/G44)</f>
        <v>0.11066188703333554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Serena CUSD 2</v>
      </c>
      <c r="D6" s="2404"/>
      <c r="E6" s="2404"/>
      <c r="F6" s="1482"/>
      <c r="G6" s="1507"/>
      <c r="L6" s="1507"/>
      <c r="M6" s="1855"/>
      <c r="N6" s="1855"/>
      <c r="O6" s="1855"/>
    </row>
    <row r="7" spans="1:15" ht="11.25" customHeight="1" thickBot="1" x14ac:dyDescent="0.3">
      <c r="A7" s="1480"/>
      <c r="B7" s="1481"/>
      <c r="C7" s="2405">
        <f>COVER!A13</f>
        <v>35050002026</v>
      </c>
      <c r="D7" s="2405"/>
      <c r="E7" s="240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2050</v>
      </c>
      <c r="D13" s="1495" t="s">
        <v>2050</v>
      </c>
      <c r="E13" s="1498"/>
      <c r="F13" s="1497" t="s">
        <v>2065</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2050</v>
      </c>
      <c r="D16" s="1495" t="s">
        <v>2050</v>
      </c>
      <c r="E16" s="1498"/>
      <c r="F16" s="1497" t="s">
        <v>2066</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2050</v>
      </c>
      <c r="D20" s="1495" t="s">
        <v>2050</v>
      </c>
      <c r="E20" s="1498"/>
      <c r="F20" s="1497" t="s">
        <v>2067</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2050</v>
      </c>
      <c r="D24" s="1495" t="s">
        <v>2050</v>
      </c>
      <c r="E24" s="1498"/>
      <c r="F24" s="1497" t="s">
        <v>2066</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2068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2050</v>
      </c>
      <c r="D29" s="1495" t="s">
        <v>2050</v>
      </c>
      <c r="E29" s="1498"/>
      <c r="F29" s="1497" t="s">
        <v>2066</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2050</v>
      </c>
      <c r="D31" s="1495" t="s">
        <v>2050</v>
      </c>
      <c r="E31" s="1498"/>
      <c r="F31" s="1497" t="s">
        <v>2069</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2050</v>
      </c>
      <c r="D32" s="1495" t="s">
        <v>2050</v>
      </c>
      <c r="E32" s="1498"/>
      <c r="F32" s="1497" t="s">
        <v>2070</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2001</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 xml:space="preserve">   Serena CUSD 2</v>
      </c>
      <c r="K6" s="2420"/>
      <c r="L6" s="2421"/>
      <c r="M6" s="838"/>
      <c r="N6" s="1999"/>
    </row>
    <row r="7" spans="1:14" x14ac:dyDescent="0.2">
      <c r="A7" s="2422" t="s">
        <v>864</v>
      </c>
      <c r="B7" s="2423"/>
      <c r="C7" s="2423"/>
      <c r="D7" s="2423"/>
      <c r="E7" s="2424"/>
      <c r="F7" s="839"/>
      <c r="G7" s="838"/>
      <c r="H7" s="838"/>
      <c r="I7" s="1925" t="s">
        <v>369</v>
      </c>
      <c r="J7" s="2425">
        <f>COVER!A13</f>
        <v>35050002026</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2017</v>
      </c>
      <c r="F9" s="1857"/>
      <c r="G9" s="1857"/>
      <c r="H9" s="1857"/>
      <c r="I9" s="1930" t="s">
        <v>2018</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2019</v>
      </c>
      <c r="H11" s="1940" t="s">
        <v>155</v>
      </c>
      <c r="I11" s="1938" t="s">
        <v>64</v>
      </c>
      <c r="J11" s="1938" t="s">
        <v>6</v>
      </c>
      <c r="K11" s="1939" t="s">
        <v>2000</v>
      </c>
      <c r="L11" s="1940" t="s">
        <v>155</v>
      </c>
      <c r="M11" s="838"/>
      <c r="N11" s="1999"/>
    </row>
    <row r="12" spans="1:14" x14ac:dyDescent="0.2">
      <c r="A12" s="2004">
        <v>1</v>
      </c>
      <c r="B12" s="1941" t="s">
        <v>813</v>
      </c>
      <c r="C12" s="842"/>
      <c r="D12" s="1942">
        <v>2320</v>
      </c>
      <c r="E12" s="1945">
        <f>'Expenditures 15-22'!K50</f>
        <v>165912</v>
      </c>
      <c r="F12" s="1943"/>
      <c r="G12" s="1969">
        <f>G68</f>
        <v>25486</v>
      </c>
      <c r="H12" s="1945">
        <f t="shared" ref="H12:H18" si="0">SUM(E12:G12)</f>
        <v>191398</v>
      </c>
      <c r="I12" s="1944">
        <v>168985</v>
      </c>
      <c r="J12" s="1943"/>
      <c r="K12" s="1944">
        <v>27000</v>
      </c>
      <c r="L12" s="1945">
        <f t="shared" ref="L12:L18" si="1">SUM(I12:K12)</f>
        <v>195985</v>
      </c>
      <c r="M12" s="838"/>
      <c r="N12" s="1999"/>
    </row>
    <row r="13" spans="1:14" x14ac:dyDescent="0.2">
      <c r="A13" s="2004">
        <v>2</v>
      </c>
      <c r="B13" s="1941" t="s">
        <v>42</v>
      </c>
      <c r="C13" s="842"/>
      <c r="D13" s="1942">
        <v>2330</v>
      </c>
      <c r="E13" s="1945">
        <f>'Expenditures 15-22'!K51</f>
        <v>90429</v>
      </c>
      <c r="F13" s="1943"/>
      <c r="G13" s="1969">
        <f>H68</f>
        <v>6250</v>
      </c>
      <c r="H13" s="1945">
        <f t="shared" si="0"/>
        <v>96679</v>
      </c>
      <c r="I13" s="1944">
        <v>109650</v>
      </c>
      <c r="J13" s="1943"/>
      <c r="K13" s="1944">
        <v>12000</v>
      </c>
      <c r="L13" s="1945">
        <f t="shared" si="1"/>
        <v>121650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90850</v>
      </c>
      <c r="F15" s="1945">
        <f>'Expenditures 15-22'!K122</f>
        <v>0</v>
      </c>
      <c r="G15" s="1969">
        <f>J68</f>
        <v>12553</v>
      </c>
      <c r="H15" s="1945">
        <f t="shared" si="0"/>
        <v>103403</v>
      </c>
      <c r="I15" s="1944">
        <v>65950</v>
      </c>
      <c r="J15" s="1944"/>
      <c r="K15" s="1944">
        <v>11000</v>
      </c>
      <c r="L15" s="1945">
        <f t="shared" si="1"/>
        <v>76950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347191</v>
      </c>
      <c r="F19" s="1951">
        <f t="shared" si="2"/>
        <v>0</v>
      </c>
      <c r="G19" s="1951">
        <f t="shared" ref="G19" si="3">SUM(G12:G17)-G18</f>
        <v>44289</v>
      </c>
      <c r="H19" s="1951">
        <f t="shared" si="2"/>
        <v>391480</v>
      </c>
      <c r="I19" s="1951">
        <f t="shared" si="2"/>
        <v>344585</v>
      </c>
      <c r="J19" s="1951">
        <f t="shared" si="2"/>
        <v>0</v>
      </c>
      <c r="K19" s="1951">
        <f t="shared" si="2"/>
        <v>50000</v>
      </c>
      <c r="L19" s="1951">
        <f t="shared" si="2"/>
        <v>394585</v>
      </c>
      <c r="M19" s="838"/>
      <c r="N19" s="1999"/>
    </row>
    <row r="20" spans="1:14" ht="13.5" thickTop="1" x14ac:dyDescent="0.2">
      <c r="A20" s="2004">
        <v>9</v>
      </c>
      <c r="B20" s="2432" t="s">
        <v>2020</v>
      </c>
      <c r="C20" s="2432"/>
      <c r="D20" s="2433"/>
      <c r="E20" s="1952"/>
      <c r="F20" s="1952"/>
      <c r="G20" s="1952"/>
      <c r="H20" s="1952"/>
      <c r="I20" s="1952"/>
      <c r="J20" s="1952"/>
      <c r="K20" s="1952"/>
      <c r="L20" s="1953">
        <f>IF(AND(H19&gt;0,L19&gt;0),(((L19-H19)/H19)),"Enter Budget Data")</f>
        <v>7.9314396648615514E-3</v>
      </c>
      <c r="M20" s="838"/>
      <c r="N20" s="1999"/>
    </row>
    <row r="21" spans="1:14" x14ac:dyDescent="0.2">
      <c r="A21" s="2006" t="s">
        <v>194</v>
      </c>
      <c r="B21" s="2007" t="s">
        <v>2045</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2021</v>
      </c>
      <c r="B24" s="2011"/>
      <c r="C24" s="2012"/>
      <c r="D24" s="2012"/>
      <c r="E24" s="2012"/>
      <c r="F24" s="2012"/>
      <c r="G24" s="2012"/>
      <c r="H24" s="2012"/>
      <c r="I24" s="2012"/>
      <c r="J24" s="2012"/>
      <c r="K24" s="2012"/>
      <c r="L24" s="838"/>
      <c r="M24" s="838"/>
      <c r="N24" s="1999"/>
    </row>
    <row r="25" spans="1:14" x14ac:dyDescent="0.2">
      <c r="A25" s="2010" t="s">
        <v>2022</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2023</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2024</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2025</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2027</v>
      </c>
      <c r="B45" s="1984"/>
      <c r="C45" s="1984"/>
      <c r="D45" s="1984"/>
      <c r="E45" s="1984"/>
      <c r="F45" s="1984"/>
      <c r="G45" s="1984"/>
      <c r="H45" s="1984"/>
      <c r="I45" s="1984"/>
      <c r="J45" s="1984"/>
      <c r="K45" s="1984"/>
      <c r="L45" s="1984"/>
      <c r="M45" s="1984"/>
      <c r="N45" s="1985"/>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2044</v>
      </c>
      <c r="B49" s="2025"/>
      <c r="C49" s="2025"/>
      <c r="D49" s="2026"/>
      <c r="E49" s="2026"/>
      <c r="F49" s="2026"/>
      <c r="G49" s="2026"/>
      <c r="H49" s="2026"/>
      <c r="I49" s="2026"/>
      <c r="J49" s="2026"/>
      <c r="K49" s="2026"/>
      <c r="L49" s="2026"/>
      <c r="M49" s="2026"/>
      <c r="N49" s="2027"/>
    </row>
    <row r="50" spans="1:14" ht="15" x14ac:dyDescent="0.25">
      <c r="A50" s="2029" t="s">
        <v>2043</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 xml:space="preserve">   Serena CUSD 2</v>
      </c>
      <c r="M52" s="2420"/>
      <c r="N52" s="2450"/>
    </row>
    <row r="53" spans="1:14" x14ac:dyDescent="0.2">
      <c r="A53" s="1983"/>
      <c r="B53" s="1984"/>
      <c r="C53" s="1984"/>
      <c r="D53" s="1984"/>
      <c r="E53" s="1984"/>
      <c r="F53" s="1984"/>
      <c r="G53" s="1984"/>
      <c r="H53" s="1984"/>
      <c r="I53" s="1984"/>
      <c r="J53" s="1984"/>
      <c r="K53" s="1925" t="s">
        <v>369</v>
      </c>
      <c r="L53" s="2425">
        <f>J7</f>
        <v>35050002026</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2029</v>
      </c>
      <c r="H55" s="2454"/>
      <c r="I55" s="2454"/>
      <c r="J55" s="2454"/>
      <c r="K55" s="2454"/>
      <c r="L55" s="2454"/>
      <c r="M55" s="2454"/>
      <c r="N55" s="2455"/>
    </row>
    <row r="56" spans="1:14" ht="63.75" x14ac:dyDescent="0.2">
      <c r="A56" s="2456" t="s">
        <v>2030</v>
      </c>
      <c r="B56" s="2457"/>
      <c r="C56" s="2458"/>
      <c r="D56" s="1965" t="s">
        <v>2031</v>
      </c>
      <c r="E56" s="1965" t="s">
        <v>2032</v>
      </c>
      <c r="F56" s="1972"/>
      <c r="G56" s="1965" t="s">
        <v>2033</v>
      </c>
      <c r="H56" s="1965" t="s">
        <v>2034</v>
      </c>
      <c r="I56" s="1965" t="s">
        <v>2035</v>
      </c>
      <c r="J56" s="1965" t="s">
        <v>2036</v>
      </c>
      <c r="K56" s="1965" t="s">
        <v>2037</v>
      </c>
      <c r="L56" s="1965" t="s">
        <v>2038</v>
      </c>
      <c r="M56" s="1965" t="s">
        <v>2039</v>
      </c>
      <c r="N56" s="1966" t="s">
        <v>2046</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v>0</v>
      </c>
      <c r="N57" s="1976">
        <f>IF((SUM(G57:M57))=E57,SUM(G57:M57),"Column N does not agree with Column E")</f>
        <v>0</v>
      </c>
    </row>
    <row r="58" spans="1:14" ht="24" customHeight="1" x14ac:dyDescent="0.2">
      <c r="A58" s="2438" t="s">
        <v>2040</v>
      </c>
      <c r="B58" s="2439"/>
      <c r="C58" s="2439"/>
      <c r="D58" s="1968">
        <v>2362</v>
      </c>
      <c r="E58" s="1978">
        <f>'Expenditures 15-22'!K320</f>
        <v>37193</v>
      </c>
      <c r="F58" s="1973"/>
      <c r="G58" s="2032"/>
      <c r="H58" s="2033"/>
      <c r="I58" s="2033"/>
      <c r="J58" s="2033"/>
      <c r="K58" s="2033"/>
      <c r="L58" s="2033"/>
      <c r="M58" s="2033">
        <v>37193</v>
      </c>
      <c r="N58" s="1976">
        <f>IF((SUM(G58:M58))=E58,SUM(G58:M58),"Column N does not agree with Column E")</f>
        <v>37193</v>
      </c>
    </row>
    <row r="59" spans="1:14" ht="24.75" customHeight="1" x14ac:dyDescent="0.2">
      <c r="A59" s="2461" t="s">
        <v>297</v>
      </c>
      <c r="B59" s="2462"/>
      <c r="C59" s="2462"/>
      <c r="D59" s="1968">
        <v>2363</v>
      </c>
      <c r="E59" s="1978">
        <f>'Expenditures 15-22'!K321</f>
        <v>17996</v>
      </c>
      <c r="F59" s="1973"/>
      <c r="G59" s="2032"/>
      <c r="H59" s="2033"/>
      <c r="I59" s="2033"/>
      <c r="J59" s="2033"/>
      <c r="K59" s="2033"/>
      <c r="L59" s="2033"/>
      <c r="M59" s="2033">
        <v>17996</v>
      </c>
      <c r="N59" s="1976">
        <f>IF((SUM(G59:M59))=E59,SUM(G59:M59),"Column N does not agree with Column E")</f>
        <v>17996</v>
      </c>
    </row>
    <row r="60" spans="1:14" ht="24" customHeight="1" x14ac:dyDescent="0.2">
      <c r="A60" s="2461" t="s">
        <v>236</v>
      </c>
      <c r="B60" s="2462"/>
      <c r="C60" s="2462"/>
      <c r="D60" s="1968">
        <v>2364</v>
      </c>
      <c r="E60" s="1978">
        <f>'Expenditures 15-22'!K322</f>
        <v>32573</v>
      </c>
      <c r="F60" s="1973"/>
      <c r="G60" s="2032"/>
      <c r="H60" s="2033"/>
      <c r="I60" s="2033"/>
      <c r="J60" s="2033"/>
      <c r="K60" s="2033"/>
      <c r="L60" s="2033"/>
      <c r="M60" s="2033">
        <v>32573</v>
      </c>
      <c r="N60" s="1976">
        <f t="shared" ref="N60:N67" si="4">IF((SUM(G60:M60))=E60,SUM(G60:M60),"Column N does not agree with Column E")</f>
        <v>32573</v>
      </c>
    </row>
    <row r="61" spans="1:14" ht="24.75" customHeight="1" x14ac:dyDescent="0.2">
      <c r="A61" s="2461" t="s">
        <v>697</v>
      </c>
      <c r="B61" s="2462"/>
      <c r="C61" s="2462"/>
      <c r="D61" s="1968">
        <v>2365</v>
      </c>
      <c r="E61" s="1978">
        <f>'Expenditures 15-22'!K323</f>
        <v>8294</v>
      </c>
      <c r="F61" s="1973"/>
      <c r="G61" s="2032"/>
      <c r="H61" s="2033"/>
      <c r="I61" s="2033"/>
      <c r="J61" s="2033"/>
      <c r="K61" s="2033"/>
      <c r="L61" s="2033"/>
      <c r="M61" s="2033">
        <v>8294</v>
      </c>
      <c r="N61" s="1976">
        <f t="shared" si="4"/>
        <v>8294</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v>0</v>
      </c>
      <c r="N62" s="1976">
        <f t="shared" si="4"/>
        <v>0</v>
      </c>
    </row>
    <row r="63" spans="1:14" ht="24" customHeight="1" x14ac:dyDescent="0.2">
      <c r="A63" s="2438" t="s">
        <v>1022</v>
      </c>
      <c r="B63" s="2439"/>
      <c r="C63" s="2439"/>
      <c r="D63" s="1968">
        <v>2367</v>
      </c>
      <c r="E63" s="1978">
        <f>'Expenditures 15-22'!K325</f>
        <v>162868</v>
      </c>
      <c r="F63" s="1973"/>
      <c r="G63" s="2032">
        <f>23575+1911</f>
        <v>25486</v>
      </c>
      <c r="H63" s="2033">
        <v>6250</v>
      </c>
      <c r="I63" s="2033"/>
      <c r="J63" s="2033">
        <f>1642+10911</f>
        <v>12553</v>
      </c>
      <c r="K63" s="2033"/>
      <c r="L63" s="2033"/>
      <c r="M63" s="2033">
        <f>E63-G63-H63-J63</f>
        <v>118579</v>
      </c>
      <c r="N63" s="1976">
        <f t="shared" si="4"/>
        <v>162868</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v>0</v>
      </c>
      <c r="N64" s="1976">
        <f t="shared" si="4"/>
        <v>0</v>
      </c>
    </row>
    <row r="65" spans="1:14" ht="24" customHeight="1" x14ac:dyDescent="0.2">
      <c r="A65" s="2461" t="s">
        <v>965</v>
      </c>
      <c r="B65" s="2462"/>
      <c r="C65" s="2462"/>
      <c r="D65" s="1968">
        <v>2369</v>
      </c>
      <c r="E65" s="1978">
        <f>'Expenditures 15-22'!K327</f>
        <v>116373</v>
      </c>
      <c r="F65" s="1973"/>
      <c r="G65" s="2032"/>
      <c r="H65" s="2033"/>
      <c r="I65" s="2033"/>
      <c r="J65" s="2033"/>
      <c r="K65" s="2033"/>
      <c r="L65" s="2033"/>
      <c r="M65" s="2033">
        <v>116373</v>
      </c>
      <c r="N65" s="1976">
        <f t="shared" si="4"/>
        <v>116373</v>
      </c>
    </row>
    <row r="66" spans="1:14" ht="24" customHeight="1" x14ac:dyDescent="0.2">
      <c r="A66" s="2461" t="s">
        <v>469</v>
      </c>
      <c r="B66" s="2462"/>
      <c r="C66" s="2462"/>
      <c r="D66" s="1968">
        <v>2371</v>
      </c>
      <c r="E66" s="1978">
        <f>'Expenditures 15-22'!K328</f>
        <v>36709</v>
      </c>
      <c r="F66" s="1973"/>
      <c r="G66" s="2032"/>
      <c r="H66" s="2033"/>
      <c r="I66" s="2033"/>
      <c r="J66" s="2033"/>
      <c r="K66" s="2033"/>
      <c r="L66" s="2033"/>
      <c r="M66" s="2033">
        <v>36709</v>
      </c>
      <c r="N66" s="1976">
        <f t="shared" si="4"/>
        <v>36709</v>
      </c>
    </row>
    <row r="67" spans="1:14" ht="24.75" customHeight="1" x14ac:dyDescent="0.2">
      <c r="A67" s="2463" t="s">
        <v>2041</v>
      </c>
      <c r="B67" s="2464"/>
      <c r="C67" s="2464"/>
      <c r="D67" s="1970">
        <v>2372</v>
      </c>
      <c r="E67" s="1979">
        <f>'Expenditures 15-22'!K329</f>
        <v>18424</v>
      </c>
      <c r="F67" s="1973"/>
      <c r="G67" s="2034"/>
      <c r="H67" s="2035"/>
      <c r="I67" s="2035"/>
      <c r="J67" s="2035"/>
      <c r="K67" s="2035"/>
      <c r="L67" s="2035"/>
      <c r="M67" s="2035">
        <v>18424</v>
      </c>
      <c r="N67" s="1976">
        <f t="shared" si="4"/>
        <v>18424</v>
      </c>
    </row>
    <row r="68" spans="1:14" x14ac:dyDescent="0.2">
      <c r="A68" s="2465" t="s">
        <v>1151</v>
      </c>
      <c r="B68" s="2466"/>
      <c r="C68" s="2466"/>
      <c r="D68" s="1971"/>
      <c r="E68" s="1975">
        <f>SUM(E57:E67)</f>
        <v>430430</v>
      </c>
      <c r="F68" s="1974"/>
      <c r="G68" s="1975">
        <f t="shared" ref="G68:N68" si="5">SUM(G57:G67)</f>
        <v>25486</v>
      </c>
      <c r="H68" s="1975">
        <f t="shared" si="5"/>
        <v>6250</v>
      </c>
      <c r="I68" s="1975">
        <f t="shared" si="5"/>
        <v>0</v>
      </c>
      <c r="J68" s="1975">
        <f t="shared" si="5"/>
        <v>12553</v>
      </c>
      <c r="K68" s="1975">
        <f t="shared" si="5"/>
        <v>0</v>
      </c>
      <c r="L68" s="1975">
        <f t="shared" si="5"/>
        <v>0</v>
      </c>
      <c r="M68" s="1975">
        <f t="shared" si="5"/>
        <v>386141</v>
      </c>
      <c r="N68" s="1989">
        <f t="shared" si="5"/>
        <v>430430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2042</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2082</v>
      </c>
    </row>
    <row r="9" spans="1:2" x14ac:dyDescent="0.2">
      <c r="A9" s="847">
        <v>5</v>
      </c>
      <c r="B9" s="307" t="s">
        <v>2083</v>
      </c>
    </row>
    <row r="10" spans="1:2" x14ac:dyDescent="0.2">
      <c r="A10" s="847">
        <v>6</v>
      </c>
      <c r="B10" s="307" t="s">
        <v>2084</v>
      </c>
    </row>
    <row r="11" spans="1:2" x14ac:dyDescent="0.2">
      <c r="A11" s="847">
        <v>7</v>
      </c>
      <c r="B11" s="307" t="s">
        <v>2085</v>
      </c>
    </row>
    <row r="12" spans="1:2" x14ac:dyDescent="0.2">
      <c r="A12" s="847">
        <v>8</v>
      </c>
      <c r="B12" s="307" t="s">
        <v>2086</v>
      </c>
    </row>
    <row r="13" spans="1:2" x14ac:dyDescent="0.2">
      <c r="A13" s="847"/>
    </row>
    <row r="14" spans="1:2" x14ac:dyDescent="0.2">
      <c r="A14" s="847"/>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Serena CUSD 2</v>
      </c>
    </row>
    <row r="65" spans="2:2" x14ac:dyDescent="0.2">
      <c r="B65" s="849">
        <f>COVER!A13</f>
        <v>35050002026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142875</xdr:colOff>
                <xdr:row>1</xdr:row>
                <xdr:rowOff>19050</xdr:rowOff>
              </from>
              <to>
                <xdr:col>1</xdr:col>
                <xdr:colOff>1057275</xdr:colOff>
                <xdr:row>5</xdr:row>
                <xdr:rowOff>57150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7611216</v>
      </c>
      <c r="C8" s="1813">
        <f>'Acct Summary 7-8'!D8</f>
        <v>871487</v>
      </c>
      <c r="D8" s="1813">
        <f>'Acct Summary 7-8'!F8</f>
        <v>681417</v>
      </c>
      <c r="E8" s="1813">
        <f>'Acct Summary 7-8'!I8</f>
        <v>112310</v>
      </c>
      <c r="F8" s="1813">
        <f>SUM(B8:E8)</f>
        <v>9276430</v>
      </c>
    </row>
    <row r="9" spans="1:8" s="858" customFormat="1" ht="14.25" customHeight="1" thickBot="1" x14ac:dyDescent="0.25">
      <c r="A9" s="857" t="s">
        <v>1353</v>
      </c>
      <c r="B9" s="1814">
        <f>'Acct Summary 7-8'!C17</f>
        <v>7531601</v>
      </c>
      <c r="C9" s="1814">
        <f>'Acct Summary 7-8'!D17</f>
        <v>823110</v>
      </c>
      <c r="D9" s="1814">
        <f>'Acct Summary 7-8'!F17</f>
        <v>605340</v>
      </c>
      <c r="E9" s="1813"/>
      <c r="F9" s="1813">
        <f>SUM(B9:E9)</f>
        <v>8960051</v>
      </c>
    </row>
    <row r="10" spans="1:8" s="858" customFormat="1" ht="14.25" thickTop="1" thickBot="1" x14ac:dyDescent="0.25">
      <c r="A10" s="859" t="s">
        <v>1354</v>
      </c>
      <c r="B10" s="1815">
        <f>(B8-B9)</f>
        <v>79615</v>
      </c>
      <c r="C10" s="1815">
        <f>(C8-C9)</f>
        <v>48377</v>
      </c>
      <c r="D10" s="1815">
        <f>(D8-D9)</f>
        <v>76077</v>
      </c>
      <c r="E10" s="1814">
        <f>(E8-E9)</f>
        <v>112310</v>
      </c>
      <c r="F10" s="1816">
        <f>SUM(F8-F9)</f>
        <v>316379</v>
      </c>
    </row>
    <row r="11" spans="1:8" s="858" customFormat="1" ht="14.25" thickTop="1" thickBot="1" x14ac:dyDescent="0.25">
      <c r="A11" s="860" t="s">
        <v>1902</v>
      </c>
      <c r="B11" s="1817">
        <f>'Acct Summary 7-8'!C81</f>
        <v>4987813</v>
      </c>
      <c r="C11" s="1817">
        <f>'Acct Summary 7-8'!D81</f>
        <v>772632</v>
      </c>
      <c r="D11" s="1817">
        <f>'Acct Summary 7-8'!F81</f>
        <v>1287718</v>
      </c>
      <c r="E11" s="1817">
        <f>'Acct Summary 7-8'!I81</f>
        <v>1818706</v>
      </c>
      <c r="F11" s="1818">
        <f>SUM(B11:E11)</f>
        <v>8866869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35050002026</v>
      </c>
      <c r="E2" s="1542">
        <v>2020</v>
      </c>
      <c r="F2" s="1542">
        <v>1</v>
      </c>
      <c r="G2" s="1899">
        <v>101000300</v>
      </c>
    </row>
    <row r="3" spans="1:7" ht="15" x14ac:dyDescent="0.25">
      <c r="A3" t="s">
        <v>950</v>
      </c>
      <c r="B3" s="135" t="str">
        <f>COVER!A15</f>
        <v>LaSalle</v>
      </c>
      <c r="E3" s="1830" t="s">
        <v>1970</v>
      </c>
      <c r="F3" s="1830" t="s">
        <v>1969</v>
      </c>
      <c r="G3" s="1899">
        <v>101000400</v>
      </c>
    </row>
    <row r="4" spans="1:7" ht="15" x14ac:dyDescent="0.25">
      <c r="A4" t="s">
        <v>1000</v>
      </c>
      <c r="B4" s="135" t="str">
        <f>COVER!A17</f>
        <v xml:space="preserve">   Serena CUSD 2</v>
      </c>
      <c r="E4" s="1828">
        <v>44119</v>
      </c>
      <c r="F4" s="1829">
        <v>44151</v>
      </c>
      <c r="G4" s="1899">
        <v>101000600</v>
      </c>
    </row>
    <row r="5" spans="1:7" ht="15" x14ac:dyDescent="0.25">
      <c r="A5" t="s">
        <v>699</v>
      </c>
      <c r="B5" s="135" t="str">
        <f>COVER!A38</f>
        <v>Spencer Byrd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Kyle Hendrickson, CPA</v>
      </c>
      <c r="G17" s="1899">
        <v>402100800</v>
      </c>
    </row>
    <row r="18" spans="1:7" ht="15" x14ac:dyDescent="0.25">
      <c r="A18" t="s">
        <v>1140</v>
      </c>
      <c r="B18" s="135" t="str">
        <f>COVER!T17</f>
        <v>4200 N Knoxville Ave.</v>
      </c>
      <c r="G18" s="1899">
        <v>102200300</v>
      </c>
    </row>
    <row r="19" spans="1:7" ht="15" x14ac:dyDescent="0.25">
      <c r="A19" t="s">
        <v>880</v>
      </c>
      <c r="B19" s="135" t="str">
        <f>COVER!T25</f>
        <v>khendrickson@gorenzcpa.com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4775482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4988663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850</v>
      </c>
      <c r="C91" s="2" t="s">
        <v>569</v>
      </c>
      <c r="D91" s="2" t="str">
        <f t="shared" si="0"/>
        <v>Error?</v>
      </c>
      <c r="G91" s="1899">
        <v>102640400</v>
      </c>
    </row>
    <row r="92" spans="1:7" ht="15" x14ac:dyDescent="0.25">
      <c r="A92" s="5">
        <v>31</v>
      </c>
      <c r="B92" s="1832">
        <f>'Assets-Liab 5-6'!C39</f>
        <v>4987813</v>
      </c>
      <c r="D92" s="2" t="str">
        <f t="shared" si="0"/>
        <v>Error?</v>
      </c>
      <c r="G92" s="1899">
        <v>102640600</v>
      </c>
    </row>
    <row r="93" spans="1:7" ht="15" x14ac:dyDescent="0.25">
      <c r="A93" s="5">
        <v>32</v>
      </c>
      <c r="B93" s="1832">
        <f>'Assets-Liab 5-6'!C41</f>
        <v>4988663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772632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722632</v>
      </c>
      <c r="D123" s="2" t="str">
        <f t="shared" si="0"/>
        <v>Error?</v>
      </c>
      <c r="G123" s="1899">
        <v>203000400</v>
      </c>
    </row>
    <row r="124" spans="1:7" ht="15" x14ac:dyDescent="0.25">
      <c r="A124" s="5">
        <v>63</v>
      </c>
      <c r="B124" s="1832">
        <f>'Assets-Liab 5-6'!D41</f>
        <v>772632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125541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125541</v>
      </c>
      <c r="D140" s="2" t="str">
        <f t="shared" si="1"/>
        <v>Error?</v>
      </c>
    </row>
    <row r="141" spans="1:7" x14ac:dyDescent="0.2">
      <c r="A141" s="5">
        <v>80</v>
      </c>
      <c r="B141" s="1832">
        <f>'Assets-Liab 5-6'!E41</f>
        <v>125541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246900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1287718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1287718</v>
      </c>
      <c r="D170" s="2" t="str">
        <f t="shared" si="1"/>
        <v>Error?</v>
      </c>
    </row>
    <row r="171" spans="1:4" x14ac:dyDescent="0.2">
      <c r="A171" s="5">
        <v>110</v>
      </c>
      <c r="B171" s="1832">
        <f>'Assets-Liab 5-6'!F41</f>
        <v>1287718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139234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60448</v>
      </c>
      <c r="D189" s="2" t="str">
        <f t="shared" si="1"/>
        <v>Error?</v>
      </c>
    </row>
    <row r="190" spans="1:4" x14ac:dyDescent="0.2">
      <c r="A190" s="5">
        <v>129</v>
      </c>
      <c r="B190" s="1832">
        <f>'Assets-Liab 5-6'!G41</f>
        <v>139234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5731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5731</v>
      </c>
      <c r="D212" s="2" t="str">
        <f t="shared" si="2"/>
        <v>Error?</v>
      </c>
    </row>
    <row r="213" spans="1:4" x14ac:dyDescent="0.2">
      <c r="A213" s="12">
        <v>152</v>
      </c>
      <c r="B213" s="1832">
        <f>'Assets-Liab 5-6'!H41</f>
        <v>5731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398401</v>
      </c>
      <c r="D273" s="2" t="str">
        <f t="shared" si="3"/>
        <v>Error?</v>
      </c>
    </row>
    <row r="274" spans="1:4" x14ac:dyDescent="0.2">
      <c r="A274" s="5">
        <v>213</v>
      </c>
      <c r="B274" s="1832">
        <f>'Assets-Liab 5-6'!M17</f>
        <v>14354833</v>
      </c>
      <c r="D274" s="2" t="str">
        <f t="shared" si="3"/>
        <v>Error?</v>
      </c>
    </row>
    <row r="275" spans="1:4" x14ac:dyDescent="0.2">
      <c r="A275" s="5">
        <v>214</v>
      </c>
      <c r="B275" s="1832">
        <f>'Assets-Liab 5-6'!M18</f>
        <v>231848</v>
      </c>
      <c r="D275" s="2" t="str">
        <f t="shared" si="3"/>
        <v>Error?</v>
      </c>
    </row>
    <row r="276" spans="1:4" x14ac:dyDescent="0.2">
      <c r="A276" s="5">
        <v>215</v>
      </c>
      <c r="B276" s="1832">
        <f>'Assets-Liab 5-6'!M19</f>
        <v>779649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15764731</v>
      </c>
      <c r="C279" s="2" t="s">
        <v>569</v>
      </c>
      <c r="D279" s="2" t="str">
        <f t="shared" si="3"/>
        <v>Error?</v>
      </c>
    </row>
    <row r="280" spans="1:4" x14ac:dyDescent="0.2">
      <c r="A280" s="5">
        <v>219</v>
      </c>
      <c r="B280" s="1832">
        <f>'Assets-Liab 5-6'!M40</f>
        <v>15764731</v>
      </c>
      <c r="D280" s="2" t="str">
        <f t="shared" si="3"/>
        <v>Error?</v>
      </c>
    </row>
    <row r="281" spans="1:4" x14ac:dyDescent="0.2">
      <c r="A281" s="5">
        <v>220</v>
      </c>
      <c r="B281" s="1832">
        <f>'Assets-Liab 5-6'!M41</f>
        <v>15764731</v>
      </c>
      <c r="C281" s="2" t="s">
        <v>569</v>
      </c>
      <c r="D281" s="2" t="str">
        <f t="shared" si="3"/>
        <v>Error?</v>
      </c>
    </row>
    <row r="282" spans="1:4" x14ac:dyDescent="0.2">
      <c r="A282" s="5">
        <v>221</v>
      </c>
      <c r="B282" s="1832">
        <f>'Assets-Liab 5-6'!N21</f>
        <v>125541</v>
      </c>
      <c r="D282" s="2" t="str">
        <f t="shared" si="3"/>
        <v>Error?</v>
      </c>
    </row>
    <row r="283" spans="1:4" x14ac:dyDescent="0.2">
      <c r="A283" s="5">
        <v>222</v>
      </c>
      <c r="B283" s="1832">
        <f>'Assets-Liab 5-6'!N22</f>
        <v>3149459</v>
      </c>
      <c r="D283" s="2" t="str">
        <f t="shared" si="3"/>
        <v>Error?</v>
      </c>
    </row>
    <row r="284" spans="1:4" x14ac:dyDescent="0.2">
      <c r="A284" s="5">
        <v>223</v>
      </c>
      <c r="B284" s="1832">
        <f>'Assets-Liab 5-6'!N23</f>
        <v>3275000</v>
      </c>
      <c r="C284" s="2" t="s">
        <v>569</v>
      </c>
      <c r="D284" s="2" t="str">
        <f t="shared" si="3"/>
        <v>Error?</v>
      </c>
    </row>
    <row r="285" spans="1:4" x14ac:dyDescent="0.2">
      <c r="A285" s="5">
        <v>224</v>
      </c>
      <c r="B285" s="1832">
        <f>'Assets-Liab 5-6'!N36</f>
        <v>3275000</v>
      </c>
      <c r="D285" s="2" t="str">
        <f t="shared" si="3"/>
        <v>Error?</v>
      </c>
    </row>
    <row r="286" spans="1:4" x14ac:dyDescent="0.2">
      <c r="A286" s="10">
        <v>225</v>
      </c>
      <c r="B286" s="1832"/>
      <c r="D286" s="2" t="str">
        <f t="shared" si="3"/>
        <v>OK</v>
      </c>
    </row>
    <row r="287" spans="1:4" x14ac:dyDescent="0.2">
      <c r="A287" s="5">
        <v>226</v>
      </c>
      <c r="B287" s="1832">
        <f>'Assets-Liab 5-6'!N37</f>
        <v>3275000</v>
      </c>
      <c r="C287" s="2" t="s">
        <v>569</v>
      </c>
      <c r="D287" s="2" t="str">
        <f t="shared" si="3"/>
        <v>Error?</v>
      </c>
    </row>
    <row r="288" spans="1:4" x14ac:dyDescent="0.2">
      <c r="A288" s="5">
        <v>227</v>
      </c>
      <c r="B288" s="1832">
        <f>'Assets-Liab 5-6'!N41</f>
        <v>3275000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32172</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3333464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162271</v>
      </c>
      <c r="D717" s="2" t="str">
        <f t="shared" si="10"/>
        <v>Error?</v>
      </c>
    </row>
    <row r="718" spans="1:4" x14ac:dyDescent="0.2">
      <c r="A718" s="5">
        <v>657</v>
      </c>
      <c r="B718" s="1832">
        <f>'Expenditures 15-22'!C14</f>
        <v>117368</v>
      </c>
      <c r="D718" s="2" t="str">
        <f t="shared" si="10"/>
        <v>Error?</v>
      </c>
    </row>
    <row r="719" spans="1:4" x14ac:dyDescent="0.2">
      <c r="A719" s="5">
        <v>658</v>
      </c>
      <c r="B719" s="1832">
        <f>'Expenditures 15-22'!C15</f>
        <v>2640</v>
      </c>
      <c r="D719" s="2" t="str">
        <f t="shared" si="10"/>
        <v>Error?</v>
      </c>
    </row>
    <row r="720" spans="1:4" x14ac:dyDescent="0.2">
      <c r="A720" s="5">
        <v>659</v>
      </c>
      <c r="B720" s="1832">
        <f>'Expenditures 15-22'!C33</f>
        <v>4347089</v>
      </c>
      <c r="C720" s="2" t="s">
        <v>569</v>
      </c>
      <c r="D720" s="2" t="str">
        <f t="shared" si="10"/>
        <v>Error?</v>
      </c>
    </row>
    <row r="721" spans="1:4" x14ac:dyDescent="0.2">
      <c r="A721" s="5">
        <v>660</v>
      </c>
      <c r="B721" s="1832">
        <f>'Expenditures 15-22'!C36</f>
        <v>51667</v>
      </c>
      <c r="D721" s="2" t="str">
        <f t="shared" si="10"/>
        <v>Error?</v>
      </c>
    </row>
    <row r="722" spans="1:4" x14ac:dyDescent="0.2">
      <c r="A722" s="5">
        <v>661</v>
      </c>
      <c r="B722" s="1832">
        <f>'Expenditures 15-22'!C37</f>
        <v>123807</v>
      </c>
      <c r="D722" s="2" t="str">
        <f t="shared" si="10"/>
        <v>Error?</v>
      </c>
    </row>
    <row r="723" spans="1:4" x14ac:dyDescent="0.2">
      <c r="A723" s="5">
        <v>662</v>
      </c>
      <c r="B723" s="1832">
        <f>'Expenditures 15-22'!C38</f>
        <v>49962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85227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310663</v>
      </c>
      <c r="C727" s="2" t="s">
        <v>569</v>
      </c>
      <c r="D727" s="2" t="str">
        <f t="shared" si="10"/>
        <v>Error?</v>
      </c>
    </row>
    <row r="728" spans="1:4" x14ac:dyDescent="0.2">
      <c r="A728" s="5">
        <v>667</v>
      </c>
      <c r="B728" s="1832">
        <f>'Expenditures 15-22'!C44</f>
        <v>4320</v>
      </c>
      <c r="D728" s="2" t="str">
        <f t="shared" si="10"/>
        <v>Error?</v>
      </c>
    </row>
    <row r="729" spans="1:4" x14ac:dyDescent="0.2">
      <c r="A729" s="5">
        <v>668</v>
      </c>
      <c r="B729" s="1832">
        <f>'Expenditures 15-22'!C45</f>
        <v>153788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158108</v>
      </c>
      <c r="C731" s="2" t="s">
        <v>569</v>
      </c>
      <c r="D731" s="2" t="str">
        <f t="shared" si="10"/>
        <v>Error?</v>
      </c>
    </row>
    <row r="732" spans="1:4" x14ac:dyDescent="0.2">
      <c r="A732" s="5">
        <v>671</v>
      </c>
      <c r="B732" s="1832">
        <f>'Expenditures 15-22'!C49</f>
        <v>5950</v>
      </c>
      <c r="D732" s="2" t="str">
        <f t="shared" si="10"/>
        <v>Error?</v>
      </c>
    </row>
    <row r="733" spans="1:4" x14ac:dyDescent="0.2">
      <c r="A733" s="5">
        <v>672</v>
      </c>
      <c r="B733" s="1832">
        <f>'Expenditures 15-22'!C50</f>
        <v>112136</v>
      </c>
      <c r="D733" s="2" t="str">
        <f t="shared" si="10"/>
        <v>Error?</v>
      </c>
    </row>
    <row r="734" spans="1:4" x14ac:dyDescent="0.2">
      <c r="A734" s="5">
        <v>673</v>
      </c>
      <c r="B734" s="1832">
        <f>'Expenditures 15-22'!C53</f>
        <v>174336</v>
      </c>
      <c r="C734" s="2" t="s">
        <v>569</v>
      </c>
      <c r="D734" s="2" t="str">
        <f t="shared" si="10"/>
        <v>Error?</v>
      </c>
    </row>
    <row r="735" spans="1:4" x14ac:dyDescent="0.2">
      <c r="A735" s="5">
        <v>674</v>
      </c>
      <c r="B735" s="1832">
        <f>'Expenditures 15-22'!C55</f>
        <v>406619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406619</v>
      </c>
      <c r="C737" s="2" t="s">
        <v>569</v>
      </c>
      <c r="D737" s="2" t="str">
        <f t="shared" si="10"/>
        <v>Error?</v>
      </c>
    </row>
    <row r="738" spans="1:4" x14ac:dyDescent="0.2">
      <c r="A738" s="5">
        <v>677</v>
      </c>
      <c r="B738" s="1832">
        <f>'Expenditures 15-22'!C59</f>
        <v>62898</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148114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211012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1260738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5607827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299576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9687</v>
      </c>
      <c r="D775" s="2" t="str">
        <f t="shared" si="11"/>
        <v>Error?</v>
      </c>
    </row>
    <row r="776" spans="1:4" x14ac:dyDescent="0.2">
      <c r="A776" s="5">
        <v>715</v>
      </c>
      <c r="B776" s="1832">
        <f>'Expenditures 15-22'!D14</f>
        <v>1152</v>
      </c>
      <c r="D776" s="2" t="str">
        <f t="shared" si="11"/>
        <v>Error?</v>
      </c>
    </row>
    <row r="777" spans="1:4" x14ac:dyDescent="0.2">
      <c r="A777" s="5">
        <v>716</v>
      </c>
      <c r="B777" s="1832">
        <f>'Expenditures 15-22'!D15</f>
        <v>321</v>
      </c>
      <c r="D777" s="2" t="str">
        <f t="shared" si="11"/>
        <v>Error?</v>
      </c>
    </row>
    <row r="778" spans="1:4" x14ac:dyDescent="0.2">
      <c r="A778" s="5">
        <v>717</v>
      </c>
      <c r="B778" s="1832">
        <f>'Expenditures 15-22'!D33</f>
        <v>371318</v>
      </c>
      <c r="C778" s="2" t="s">
        <v>569</v>
      </c>
      <c r="D778" s="2" t="str">
        <f t="shared" si="11"/>
        <v>Error?</v>
      </c>
    </row>
    <row r="779" spans="1:4" x14ac:dyDescent="0.2">
      <c r="A779" s="5">
        <v>718</v>
      </c>
      <c r="B779" s="1832">
        <f>'Expenditures 15-22'!D36</f>
        <v>939</v>
      </c>
      <c r="D779" s="2" t="str">
        <f t="shared" si="11"/>
        <v>Error?</v>
      </c>
    </row>
    <row r="780" spans="1:4" x14ac:dyDescent="0.2">
      <c r="A780" s="5">
        <v>719</v>
      </c>
      <c r="B780" s="1832">
        <f>'Expenditures 15-22'!D37</f>
        <v>14401</v>
      </c>
      <c r="D780" s="2" t="str">
        <f t="shared" si="11"/>
        <v>Error?</v>
      </c>
    </row>
    <row r="781" spans="1:4" x14ac:dyDescent="0.2">
      <c r="A781" s="5">
        <v>720</v>
      </c>
      <c r="B781" s="1832">
        <f>'Expenditures 15-22'!D38</f>
        <v>718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1323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17381</v>
      </c>
      <c r="C785" s="2" t="s">
        <v>569</v>
      </c>
      <c r="D785" s="2" t="str">
        <f t="shared" si="11"/>
        <v>Error?</v>
      </c>
    </row>
    <row r="786" spans="1:4" x14ac:dyDescent="0.2">
      <c r="A786" s="5">
        <v>725</v>
      </c>
      <c r="B786" s="1832">
        <f>'Expenditures 15-22'!D44</f>
        <v>488</v>
      </c>
      <c r="D786" s="2" t="str">
        <f t="shared" si="11"/>
        <v>Error?</v>
      </c>
    </row>
    <row r="787" spans="1:4" x14ac:dyDescent="0.2">
      <c r="A787" s="5">
        <v>726</v>
      </c>
      <c r="B787" s="1832">
        <f>'Expenditures 15-22'!D45</f>
        <v>15795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16283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41281</v>
      </c>
      <c r="D791" s="2" t="str">
        <f t="shared" si="11"/>
        <v>Error?</v>
      </c>
    </row>
    <row r="792" spans="1:4" x14ac:dyDescent="0.2">
      <c r="A792" s="5">
        <v>731</v>
      </c>
      <c r="B792" s="1832">
        <f>'Expenditures 15-22'!D53</f>
        <v>74224</v>
      </c>
      <c r="C792" s="2" t="s">
        <v>569</v>
      </c>
      <c r="D792" s="2" t="str">
        <f t="shared" si="11"/>
        <v>Error?</v>
      </c>
    </row>
    <row r="793" spans="1:4" x14ac:dyDescent="0.2">
      <c r="A793" s="5">
        <v>732</v>
      </c>
      <c r="B793" s="1832">
        <f>'Expenditures 15-22'!D55</f>
        <v>116573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116573</v>
      </c>
      <c r="C795" s="2" t="s">
        <v>569</v>
      </c>
      <c r="D795" s="2" t="str">
        <f t="shared" si="11"/>
        <v>Error?</v>
      </c>
    </row>
    <row r="796" spans="1:4" x14ac:dyDescent="0.2">
      <c r="A796" s="5">
        <v>735</v>
      </c>
      <c r="B796" s="1832">
        <f>'Expenditures 15-22'!D59</f>
        <v>9251</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4659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13910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238371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609689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68358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171</v>
      </c>
      <c r="D833" s="2" t="str">
        <f t="shared" si="12"/>
        <v>Error?</v>
      </c>
    </row>
    <row r="834" spans="1:4" x14ac:dyDescent="0.2">
      <c r="A834" s="5">
        <v>773</v>
      </c>
      <c r="B834" s="1832">
        <f>'Expenditures 15-22'!E14</f>
        <v>27789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106748</v>
      </c>
      <c r="C836" s="2" t="s">
        <v>569</v>
      </c>
      <c r="D836" s="2" t="str">
        <f t="shared" si="12"/>
        <v>Error?</v>
      </c>
    </row>
    <row r="837" spans="1:4" x14ac:dyDescent="0.2">
      <c r="A837" s="5">
        <v>776</v>
      </c>
      <c r="B837" s="1832">
        <f>'Expenditures 15-22'!E36</f>
        <v>546</v>
      </c>
      <c r="D837" s="2" t="str">
        <f t="shared" si="12"/>
        <v>Error?</v>
      </c>
    </row>
    <row r="838" spans="1:4" x14ac:dyDescent="0.2">
      <c r="A838" s="5">
        <v>777</v>
      </c>
      <c r="B838" s="1832">
        <f>'Expenditures 15-22'!E37</f>
        <v>169</v>
      </c>
      <c r="D838" s="2" t="str">
        <f t="shared" si="12"/>
        <v>Error?</v>
      </c>
    </row>
    <row r="839" spans="1:4" x14ac:dyDescent="0.2">
      <c r="A839" s="5">
        <v>778</v>
      </c>
      <c r="B839" s="1832">
        <f>'Expenditures 15-22'!E38</f>
        <v>504</v>
      </c>
      <c r="D839" s="2" t="str">
        <f t="shared" si="12"/>
        <v>Error?</v>
      </c>
    </row>
    <row r="840" spans="1:4" x14ac:dyDescent="0.2">
      <c r="A840" s="5">
        <v>779</v>
      </c>
      <c r="B840" s="1832">
        <f>'Expenditures 15-22'!E39</f>
        <v>21366</v>
      </c>
      <c r="D840" s="2" t="str">
        <f t="shared" si="12"/>
        <v>Error?</v>
      </c>
    </row>
    <row r="841" spans="1:4" x14ac:dyDescent="0.2">
      <c r="A841" s="5">
        <v>780</v>
      </c>
      <c r="B841" s="1832">
        <f>'Expenditures 15-22'!E40</f>
        <v>2182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24767</v>
      </c>
      <c r="C843" s="2" t="s">
        <v>569</v>
      </c>
      <c r="D843" s="2" t="str">
        <f t="shared" si="12"/>
        <v>Error?</v>
      </c>
    </row>
    <row r="844" spans="1:4" x14ac:dyDescent="0.2">
      <c r="A844" s="5">
        <v>783</v>
      </c>
      <c r="B844" s="1832">
        <f>'Expenditures 15-22'!E44</f>
        <v>8628</v>
      </c>
      <c r="D844" s="2" t="str">
        <f t="shared" si="12"/>
        <v>Error?</v>
      </c>
    </row>
    <row r="845" spans="1:4" x14ac:dyDescent="0.2">
      <c r="A845" s="5">
        <v>784</v>
      </c>
      <c r="B845" s="1832">
        <f>'Expenditures 15-22'!E45</f>
        <v>158163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166791</v>
      </c>
      <c r="C847" s="2" t="s">
        <v>569</v>
      </c>
      <c r="D847" s="2" t="str">
        <f t="shared" si="12"/>
        <v>Error?</v>
      </c>
    </row>
    <row r="848" spans="1:4" x14ac:dyDescent="0.2">
      <c r="A848" s="5">
        <v>787</v>
      </c>
      <c r="B848" s="1832">
        <f>'Expenditures 15-22'!E49</f>
        <v>21436</v>
      </c>
      <c r="D848" s="2" t="str">
        <f t="shared" si="12"/>
        <v>Error?</v>
      </c>
    </row>
    <row r="849" spans="1:4" x14ac:dyDescent="0.2">
      <c r="A849" s="5">
        <v>788</v>
      </c>
      <c r="B849" s="1832">
        <f>'Expenditures 15-22'!E50</f>
        <v>8966</v>
      </c>
      <c r="D849" s="2" t="str">
        <f t="shared" si="12"/>
        <v>Error?</v>
      </c>
    </row>
    <row r="850" spans="1:4" x14ac:dyDescent="0.2">
      <c r="A850" s="5">
        <v>789</v>
      </c>
      <c r="B850" s="1832">
        <f>'Expenditures 15-22'!E53</f>
        <v>31339</v>
      </c>
      <c r="C850" s="2" t="s">
        <v>569</v>
      </c>
      <c r="D850" s="2" t="str">
        <f t="shared" si="12"/>
        <v>Error?</v>
      </c>
    </row>
    <row r="851" spans="1:4" x14ac:dyDescent="0.2">
      <c r="A851" s="5">
        <v>790</v>
      </c>
      <c r="B851" s="1832">
        <f>'Expenditures 15-22'!E55</f>
        <v>3325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3325</v>
      </c>
      <c r="C853" s="2" t="s">
        <v>569</v>
      </c>
      <c r="D853" s="2" t="str">
        <f t="shared" si="12"/>
        <v>Error?</v>
      </c>
    </row>
    <row r="854" spans="1:4" x14ac:dyDescent="0.2">
      <c r="A854" s="5">
        <v>793</v>
      </c>
      <c r="B854" s="1832">
        <f>'Expenditures 15-22'!E59</f>
        <v>14384</v>
      </c>
      <c r="D854" s="2" t="str">
        <f t="shared" si="12"/>
        <v>Error?</v>
      </c>
    </row>
    <row r="855" spans="1:4" x14ac:dyDescent="0.2">
      <c r="A855" s="5">
        <v>794</v>
      </c>
      <c r="B855" s="1832">
        <f>'Expenditures 15-22'!E60</f>
        <v>15589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447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30420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256642</v>
      </c>
      <c r="C871" s="2" t="s">
        <v>569</v>
      </c>
      <c r="D871" s="2" t="str">
        <f t="shared" si="12"/>
        <v>Error?</v>
      </c>
    </row>
    <row r="872" spans="1:4" x14ac:dyDescent="0.2">
      <c r="A872" s="5">
        <v>811</v>
      </c>
      <c r="B872" s="1832">
        <f>'Expenditures 15-22'!E75</f>
        <v>1113</v>
      </c>
      <c r="D872" s="2" t="str">
        <f t="shared" si="12"/>
        <v>Error?</v>
      </c>
    </row>
    <row r="873" spans="1:4" x14ac:dyDescent="0.2">
      <c r="A873" s="5">
        <v>812</v>
      </c>
      <c r="B873" s="1832">
        <f>'Expenditures 15-22'!E114</f>
        <v>461155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84274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6011</v>
      </c>
      <c r="D891" s="2" t="str">
        <f t="shared" si="12"/>
        <v>Error?</v>
      </c>
    </row>
    <row r="892" spans="1:4" x14ac:dyDescent="0.2">
      <c r="A892" s="5">
        <v>831</v>
      </c>
      <c r="B892" s="1832">
        <f>'Expenditures 15-22'!F14</f>
        <v>25498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143981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1825</v>
      </c>
      <c r="D896" s="2" t="str">
        <f t="shared" si="13"/>
        <v>Error?</v>
      </c>
    </row>
    <row r="897" spans="1:4" x14ac:dyDescent="0.2">
      <c r="A897" s="5">
        <v>836</v>
      </c>
      <c r="B897" s="1832">
        <f>'Expenditures 15-22'!F38</f>
        <v>2603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4428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85149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85149</v>
      </c>
      <c r="C905" s="2" t="s">
        <v>569</v>
      </c>
      <c r="D905" s="2" t="str">
        <f t="shared" si="13"/>
        <v>Error?</v>
      </c>
    </row>
    <row r="906" spans="1:4" x14ac:dyDescent="0.2">
      <c r="A906" s="5">
        <v>845</v>
      </c>
      <c r="B906" s="1832">
        <f>'Expenditures 15-22'!F49</f>
        <v>537</v>
      </c>
      <c r="D906" s="2" t="str">
        <f t="shared" si="13"/>
        <v>Error?</v>
      </c>
    </row>
    <row r="907" spans="1:4" x14ac:dyDescent="0.2">
      <c r="A907" s="5">
        <v>846</v>
      </c>
      <c r="B907" s="1832">
        <f>'Expenditures 15-22'!F50</f>
        <v>1842</v>
      </c>
      <c r="D907" s="2" t="str">
        <f t="shared" si="13"/>
        <v>Error?</v>
      </c>
    </row>
    <row r="908" spans="1:4" x14ac:dyDescent="0.2">
      <c r="A908" s="5">
        <v>847</v>
      </c>
      <c r="B908" s="1832">
        <f>'Expenditures 15-22'!F53</f>
        <v>2379</v>
      </c>
      <c r="C908" s="2" t="s">
        <v>569</v>
      </c>
      <c r="D908" s="2" t="str">
        <f t="shared" si="13"/>
        <v>Error?</v>
      </c>
    </row>
    <row r="909" spans="1:4" x14ac:dyDescent="0.2">
      <c r="A909" s="5">
        <v>848</v>
      </c>
      <c r="B909" s="1832">
        <f>'Expenditures 15-22'!F55</f>
        <v>20761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20761</v>
      </c>
      <c r="C911" s="2" t="s">
        <v>569</v>
      </c>
      <c r="D911" s="2" t="str">
        <f t="shared" si="13"/>
        <v>Error?</v>
      </c>
    </row>
    <row r="912" spans="1:4" x14ac:dyDescent="0.2">
      <c r="A912" s="5">
        <v>851</v>
      </c>
      <c r="B912" s="1832">
        <f>'Expenditures 15-22'!F59</f>
        <v>4087</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127994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132081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244798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388779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8217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539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14923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4283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4283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4283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19206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783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175</v>
      </c>
      <c r="D1007" s="2" t="str">
        <f t="shared" si="14"/>
        <v>Error?</v>
      </c>
    </row>
    <row r="1008" spans="1:4" x14ac:dyDescent="0.2">
      <c r="A1008" s="5">
        <v>947</v>
      </c>
      <c r="B1008" s="1832">
        <f>'Expenditures 15-22'!H14</f>
        <v>5830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269532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65</v>
      </c>
      <c r="D1012" s="2" t="str">
        <f t="shared" si="14"/>
        <v>Error?</v>
      </c>
    </row>
    <row r="1013" spans="1:4" x14ac:dyDescent="0.2">
      <c r="A1013" s="5">
        <v>952</v>
      </c>
      <c r="B1013" s="1832">
        <f>'Expenditures 15-22'!H38</f>
        <v>122</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253</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440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287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287</v>
      </c>
      <c r="C1021" s="2" t="s">
        <v>569</v>
      </c>
      <c r="D1021" s="2" t="str">
        <f t="shared" si="14"/>
        <v>Error?</v>
      </c>
    </row>
    <row r="1022" spans="1:4" x14ac:dyDescent="0.2">
      <c r="A1022" s="5">
        <v>961</v>
      </c>
      <c r="B1022" s="1832">
        <f>'Expenditures 15-22'!H49</f>
        <v>4660</v>
      </c>
      <c r="D1022" s="2" t="str">
        <f t="shared" si="14"/>
        <v>Error?</v>
      </c>
    </row>
    <row r="1023" spans="1:4" x14ac:dyDescent="0.2">
      <c r="A1023" s="5">
        <v>962</v>
      </c>
      <c r="B1023" s="1832">
        <f>'Expenditures 15-22'!H50</f>
        <v>1687</v>
      </c>
      <c r="D1023" s="2" t="str">
        <f t="shared" ref="D1023:D1086" si="15">IF(ISBLANK(B1023),"OK",IF(A1023-B1023=0,"OK","Error?"))</f>
        <v>Error?</v>
      </c>
    </row>
    <row r="1024" spans="1:4" x14ac:dyDescent="0.2">
      <c r="A1024" s="5">
        <v>963</v>
      </c>
      <c r="B1024" s="1832">
        <f>'Expenditures 15-22'!H53</f>
        <v>6646</v>
      </c>
      <c r="C1024" s="2" t="s">
        <v>569</v>
      </c>
      <c r="D1024" s="2" t="str">
        <f t="shared" si="15"/>
        <v>Error?</v>
      </c>
    </row>
    <row r="1025" spans="1:4" x14ac:dyDescent="0.2">
      <c r="A1025" s="5">
        <v>964</v>
      </c>
      <c r="B1025" s="1832">
        <f>'Expenditures 15-22'!H55</f>
        <v>1400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1400</v>
      </c>
      <c r="C1027" s="2" t="s">
        <v>569</v>
      </c>
      <c r="D1027" s="2" t="str">
        <f t="shared" si="15"/>
        <v>Error?</v>
      </c>
    </row>
    <row r="1028" spans="1:4" x14ac:dyDescent="0.2">
      <c r="A1028" s="5">
        <v>967</v>
      </c>
      <c r="B1028" s="1832">
        <f>'Expenditures 15-22'!H59</f>
        <v>230</v>
      </c>
      <c r="D1028" s="2" t="str">
        <f t="shared" si="15"/>
        <v>Error?</v>
      </c>
    </row>
    <row r="1029" spans="1:4" x14ac:dyDescent="0.2">
      <c r="A1029" s="5">
        <v>968</v>
      </c>
      <c r="B1029" s="1832">
        <f>'Expenditures 15-22'!H60</f>
        <v>1176</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699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2105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10878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134094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414504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3795457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178854</v>
      </c>
      <c r="C1105" s="2" t="s">
        <v>569</v>
      </c>
      <c r="D1105" s="2" t="str">
        <f t="shared" si="16"/>
        <v>Error?</v>
      </c>
    </row>
    <row r="1106" spans="1:4" x14ac:dyDescent="0.2">
      <c r="A1106" s="5">
        <v>1045</v>
      </c>
      <c r="B1106" s="1832">
        <f>'Expenditures 15-22'!K14</f>
        <v>177637</v>
      </c>
      <c r="C1106" s="2" t="s">
        <v>569</v>
      </c>
      <c r="D1106" s="2" t="str">
        <f t="shared" si="16"/>
        <v>Error?</v>
      </c>
    </row>
    <row r="1107" spans="1:4" x14ac:dyDescent="0.2">
      <c r="A1107" s="5">
        <v>1046</v>
      </c>
      <c r="B1107" s="1832">
        <f>'Expenditures 15-22'!K15</f>
        <v>2961</v>
      </c>
      <c r="C1107" s="2" t="s">
        <v>569</v>
      </c>
      <c r="D1107" s="2" t="str">
        <f t="shared" si="16"/>
        <v>Error?</v>
      </c>
    </row>
    <row r="1108" spans="1:4" x14ac:dyDescent="0.2">
      <c r="A1108" s="5">
        <v>1047</v>
      </c>
      <c r="B1108" s="1832">
        <f>'Expenditures 15-22'!K33</f>
        <v>5254376</v>
      </c>
      <c r="C1108" s="2" t="s">
        <v>569</v>
      </c>
      <c r="D1108" s="2" t="str">
        <f t="shared" si="16"/>
        <v>Error?</v>
      </c>
    </row>
    <row r="1109" spans="1:4" x14ac:dyDescent="0.2">
      <c r="A1109" s="5">
        <v>1048</v>
      </c>
      <c r="B1109" s="1832">
        <f>'Expenditures 15-22'!K36</f>
        <v>53152</v>
      </c>
      <c r="C1109" s="2" t="s">
        <v>569</v>
      </c>
      <c r="D1109" s="2" t="str">
        <f t="shared" si="16"/>
        <v>Error?</v>
      </c>
    </row>
    <row r="1110" spans="1:4" x14ac:dyDescent="0.2">
      <c r="A1110" s="5">
        <v>1049</v>
      </c>
      <c r="B1110" s="1832">
        <f>'Expenditures 15-22'!K37</f>
        <v>140267</v>
      </c>
      <c r="C1110" s="2" t="s">
        <v>569</v>
      </c>
      <c r="D1110" s="2" t="str">
        <f t="shared" si="16"/>
        <v>Error?</v>
      </c>
    </row>
    <row r="1111" spans="1:4" x14ac:dyDescent="0.2">
      <c r="A1111" s="5">
        <v>1050</v>
      </c>
      <c r="B1111" s="1832">
        <f>'Expenditures 15-22'!K38</f>
        <v>53909</v>
      </c>
      <c r="C1111" s="2" t="s">
        <v>569</v>
      </c>
      <c r="D1111" s="2" t="str">
        <f t="shared" si="16"/>
        <v>Error?</v>
      </c>
    </row>
    <row r="1112" spans="1:4" x14ac:dyDescent="0.2">
      <c r="A1112" s="5">
        <v>1051</v>
      </c>
      <c r="B1112" s="1832">
        <f>'Expenditures 15-22'!K39</f>
        <v>21366</v>
      </c>
      <c r="C1112" s="2" t="s">
        <v>569</v>
      </c>
      <c r="D1112" s="2" t="str">
        <f t="shared" si="16"/>
        <v>Error?</v>
      </c>
    </row>
    <row r="1113" spans="1:4" x14ac:dyDescent="0.2">
      <c r="A1113" s="5">
        <v>1052</v>
      </c>
      <c r="B1113" s="1832">
        <f>'Expenditures 15-22'!K40</f>
        <v>88985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357679</v>
      </c>
      <c r="C1115" s="2" t="s">
        <v>569</v>
      </c>
      <c r="D1115" s="2" t="str">
        <f t="shared" si="16"/>
        <v>Error?</v>
      </c>
    </row>
    <row r="1116" spans="1:4" x14ac:dyDescent="0.2">
      <c r="A1116" s="5">
        <v>1055</v>
      </c>
      <c r="B1116" s="1832">
        <f>'Expenditures 15-22'!K44</f>
        <v>13436</v>
      </c>
      <c r="C1116" s="2" t="s">
        <v>569</v>
      </c>
      <c r="D1116" s="2" t="str">
        <f t="shared" si="16"/>
        <v>Error?</v>
      </c>
    </row>
    <row r="1117" spans="1:4" x14ac:dyDescent="0.2">
      <c r="A1117" s="5">
        <v>1056</v>
      </c>
      <c r="B1117" s="1832">
        <f>'Expenditures 15-22'!K45</f>
        <v>447121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460557</v>
      </c>
      <c r="C1119" s="2" t="s">
        <v>569</v>
      </c>
      <c r="D1119" s="2" t="str">
        <f t="shared" si="16"/>
        <v>Error?</v>
      </c>
    </row>
    <row r="1120" spans="1:4" x14ac:dyDescent="0.2">
      <c r="A1120" s="5">
        <v>1059</v>
      </c>
      <c r="B1120" s="1832">
        <f>'Expenditures 15-22'!K49</f>
        <v>32583</v>
      </c>
      <c r="C1120" s="2" t="s">
        <v>569</v>
      </c>
      <c r="D1120" s="2" t="str">
        <f t="shared" si="16"/>
        <v>Error?</v>
      </c>
    </row>
    <row r="1121" spans="1:4" x14ac:dyDescent="0.2">
      <c r="A1121" s="5">
        <v>1060</v>
      </c>
      <c r="B1121" s="1832">
        <f>'Expenditures 15-22'!K50</f>
        <v>165912</v>
      </c>
      <c r="C1121" s="2" t="s">
        <v>569</v>
      </c>
      <c r="D1121" s="2" t="str">
        <f t="shared" si="16"/>
        <v>Error?</v>
      </c>
    </row>
    <row r="1122" spans="1:4" x14ac:dyDescent="0.2">
      <c r="A1122" s="5">
        <v>1061</v>
      </c>
      <c r="B1122" s="1832">
        <f>'Expenditures 15-22'!K53</f>
        <v>288924</v>
      </c>
      <c r="C1122" s="2" t="s">
        <v>569</v>
      </c>
      <c r="D1122" s="2" t="str">
        <f t="shared" si="16"/>
        <v>Error?</v>
      </c>
    </row>
    <row r="1123" spans="1:4" x14ac:dyDescent="0.2">
      <c r="A1123" s="5">
        <v>1062</v>
      </c>
      <c r="B1123" s="1832">
        <f>'Expenditures 15-22'!K55</f>
        <v>548678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548678</v>
      </c>
      <c r="C1125" s="2" t="s">
        <v>569</v>
      </c>
      <c r="D1125" s="2" t="str">
        <f t="shared" si="16"/>
        <v>Error?</v>
      </c>
    </row>
    <row r="1126" spans="1:4" x14ac:dyDescent="0.2">
      <c r="A1126" s="5">
        <v>1065</v>
      </c>
      <c r="B1126" s="1832">
        <f>'Expenditures 15-22'!K59</f>
        <v>90850</v>
      </c>
      <c r="C1126" s="2" t="s">
        <v>569</v>
      </c>
      <c r="D1126" s="2" t="str">
        <f t="shared" si="16"/>
        <v>Error?</v>
      </c>
    </row>
    <row r="1127" spans="1:4" x14ac:dyDescent="0.2">
      <c r="A1127" s="5">
        <v>1066</v>
      </c>
      <c r="B1127" s="1832">
        <f>'Expenditures 15-22'!K60</f>
        <v>16765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281913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389528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2045366</v>
      </c>
      <c r="C1143" s="2" t="s">
        <v>569</v>
      </c>
      <c r="D1143" s="2" t="str">
        <f t="shared" si="16"/>
        <v>Error?</v>
      </c>
    </row>
    <row r="1144" spans="1:4" x14ac:dyDescent="0.2">
      <c r="A1144" s="5">
        <v>1083</v>
      </c>
      <c r="B1144" s="1832">
        <f>'Expenditures 15-22'!K75</f>
        <v>1113</v>
      </c>
      <c r="C1144" s="2" t="s">
        <v>569</v>
      </c>
      <c r="D1144" s="2" t="str">
        <f t="shared" si="16"/>
        <v>Error?</v>
      </c>
    </row>
    <row r="1145" spans="1:4" x14ac:dyDescent="0.2">
      <c r="A1145" s="5">
        <v>1084</v>
      </c>
      <c r="B1145" s="1832">
        <f>'Expenditures 15-22'!K102</f>
        <v>230746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7531601</v>
      </c>
      <c r="C1152" s="2" t="s">
        <v>569</v>
      </c>
      <c r="D1152" s="2" t="str">
        <f t="shared" si="17"/>
        <v>Error?</v>
      </c>
    </row>
    <row r="1153" spans="1:4" x14ac:dyDescent="0.2">
      <c r="A1153" s="5">
        <v>1092</v>
      </c>
      <c r="B1153" s="1832">
        <f>'Expenditures 15-22'!K115</f>
        <v>79615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236464</v>
      </c>
      <c r="D1221" s="2" t="str">
        <f t="shared" si="18"/>
        <v>Error?</v>
      </c>
    </row>
    <row r="1222" spans="1:4" x14ac:dyDescent="0.2">
      <c r="A1222" s="10">
        <v>1161</v>
      </c>
      <c r="B1222" s="1832"/>
      <c r="D1222" s="2" t="str">
        <f t="shared" si="18"/>
        <v>OK</v>
      </c>
    </row>
    <row r="1223" spans="1:4" x14ac:dyDescent="0.2">
      <c r="A1223" s="5">
        <v>1162</v>
      </c>
      <c r="B1223" s="1832">
        <f>'Expenditures 15-22'!C127</f>
        <v>236464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236464</v>
      </c>
      <c r="C1225" s="2" t="s">
        <v>569</v>
      </c>
      <c r="D1225" s="2" t="str">
        <f t="shared" si="18"/>
        <v>Error?</v>
      </c>
    </row>
    <row r="1226" spans="1:4" x14ac:dyDescent="0.2">
      <c r="A1226" s="5">
        <v>1165</v>
      </c>
      <c r="B1226" s="1832">
        <f>'Expenditures 15-22'!C151</f>
        <v>236464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36673</v>
      </c>
      <c r="D1229" s="2" t="str">
        <f t="shared" si="18"/>
        <v>Error?</v>
      </c>
    </row>
    <row r="1230" spans="1:4" x14ac:dyDescent="0.2">
      <c r="A1230" s="10">
        <v>1169</v>
      </c>
      <c r="B1230" s="1832"/>
      <c r="D1230" s="2" t="str">
        <f t="shared" si="18"/>
        <v>OK</v>
      </c>
    </row>
    <row r="1231" spans="1:4" x14ac:dyDescent="0.2">
      <c r="A1231" s="5">
        <v>1170</v>
      </c>
      <c r="B1231" s="1832">
        <f>'Expenditures 15-22'!D127</f>
        <v>36673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36673</v>
      </c>
      <c r="C1233" s="2" t="s">
        <v>569</v>
      </c>
      <c r="D1233" s="2" t="str">
        <f t="shared" si="18"/>
        <v>Error?</v>
      </c>
    </row>
    <row r="1234" spans="1:4" x14ac:dyDescent="0.2">
      <c r="A1234" s="5">
        <v>1173</v>
      </c>
      <c r="B1234" s="1832">
        <f>'Expenditures 15-22'!D151</f>
        <v>36673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296269</v>
      </c>
      <c r="D1237" s="2" t="str">
        <f t="shared" si="18"/>
        <v>Error?</v>
      </c>
    </row>
    <row r="1238" spans="1:4" x14ac:dyDescent="0.2">
      <c r="A1238" s="10">
        <v>1177</v>
      </c>
      <c r="B1238" s="1832"/>
      <c r="D1238" s="2" t="str">
        <f t="shared" si="18"/>
        <v>OK</v>
      </c>
    </row>
    <row r="1239" spans="1:4" x14ac:dyDescent="0.2">
      <c r="A1239" s="5">
        <v>1178</v>
      </c>
      <c r="B1239" s="1832">
        <f>'Expenditures 15-22'!E127</f>
        <v>296269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296269</v>
      </c>
      <c r="C1241" s="2" t="s">
        <v>569</v>
      </c>
      <c r="D1241" s="2" t="str">
        <f t="shared" si="18"/>
        <v>Error?</v>
      </c>
    </row>
    <row r="1242" spans="1:4" x14ac:dyDescent="0.2">
      <c r="A1242" s="5">
        <v>1181</v>
      </c>
      <c r="B1242" s="1832">
        <f>'Expenditures 15-22'!E151</f>
        <v>296269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185964</v>
      </c>
      <c r="D1245" s="2" t="str">
        <f t="shared" si="18"/>
        <v>Error?</v>
      </c>
    </row>
    <row r="1246" spans="1:4" x14ac:dyDescent="0.2">
      <c r="A1246" s="10">
        <v>1185</v>
      </c>
      <c r="B1246" s="1832"/>
      <c r="D1246" s="2" t="str">
        <f t="shared" si="18"/>
        <v>OK</v>
      </c>
    </row>
    <row r="1247" spans="1:4" x14ac:dyDescent="0.2">
      <c r="A1247" s="5">
        <v>1186</v>
      </c>
      <c r="B1247" s="1832">
        <f>'Expenditures 15-22'!F127</f>
        <v>185964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185964</v>
      </c>
      <c r="C1249" s="2" t="s">
        <v>569</v>
      </c>
      <c r="D1249" s="2" t="str">
        <f t="shared" si="18"/>
        <v>Error?</v>
      </c>
    </row>
    <row r="1250" spans="1:4" x14ac:dyDescent="0.2">
      <c r="A1250" s="5">
        <v>1189</v>
      </c>
      <c r="B1250" s="1832">
        <f>'Expenditures 15-22'!F151</f>
        <v>185964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66830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66830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66830</v>
      </c>
      <c r="C1258" s="2" t="s">
        <v>569</v>
      </c>
      <c r="D1258" s="2" t="str">
        <f t="shared" si="18"/>
        <v>Error?</v>
      </c>
    </row>
    <row r="1259" spans="1:4" x14ac:dyDescent="0.2">
      <c r="A1259" s="5">
        <v>1198</v>
      </c>
      <c r="B1259" s="1832">
        <f>'Expenditures 15-22'!G151</f>
        <v>66830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823110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823110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823110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823110</v>
      </c>
      <c r="C1288" s="2" t="s">
        <v>569</v>
      </c>
      <c r="D1288" s="2" t="str">
        <f t="shared" si="19"/>
        <v>Error?</v>
      </c>
    </row>
    <row r="1289" spans="1:4" x14ac:dyDescent="0.2">
      <c r="A1289" s="5">
        <v>1228</v>
      </c>
      <c r="B1289" s="1832">
        <f>'Expenditures 15-22'!K152</f>
        <v>48377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117975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745000</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864975</v>
      </c>
      <c r="C1317" s="2" t="s">
        <v>569</v>
      </c>
      <c r="D1317" s="2" t="str">
        <f t="shared" si="19"/>
        <v>Error?</v>
      </c>
    </row>
    <row r="1318" spans="1:4" x14ac:dyDescent="0.2">
      <c r="A1318" s="5">
        <v>1257</v>
      </c>
      <c r="B1318" s="1832">
        <f>'Expenditures 15-22'!H174</f>
        <v>864975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117975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745000</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864975</v>
      </c>
      <c r="C1331" s="2" t="s">
        <v>569</v>
      </c>
      <c r="D1331" s="2" t="str">
        <f t="shared" si="19"/>
        <v>Error?</v>
      </c>
    </row>
    <row r="1332" spans="1:4" x14ac:dyDescent="0.2">
      <c r="A1332" s="5">
        <v>1271</v>
      </c>
      <c r="B1332" s="1832">
        <f>'Expenditures 15-22'!K174</f>
        <v>864975</v>
      </c>
      <c r="C1332" s="2" t="s">
        <v>569</v>
      </c>
      <c r="D1332" s="2" t="str">
        <f t="shared" si="19"/>
        <v>Error?</v>
      </c>
    </row>
    <row r="1333" spans="1:4" x14ac:dyDescent="0.2">
      <c r="A1333" s="5">
        <v>1272</v>
      </c>
      <c r="B1333" s="1832">
        <f>'Expenditures 15-22'!K175</f>
        <v>6432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284162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284162</v>
      </c>
      <c r="C1339" s="2" t="s">
        <v>569</v>
      </c>
      <c r="D1339" s="2" t="str">
        <f t="shared" si="19"/>
        <v>Error?</v>
      </c>
    </row>
    <row r="1340" spans="1:4" x14ac:dyDescent="0.2">
      <c r="A1340" s="5">
        <v>1279</v>
      </c>
      <c r="B1340" s="1832">
        <f>'Expenditures 15-22'!C210</f>
        <v>284162</v>
      </c>
      <c r="C1340" s="2" t="s">
        <v>569</v>
      </c>
      <c r="D1340" s="2" t="str">
        <f t="shared" si="19"/>
        <v>Error?</v>
      </c>
    </row>
    <row r="1341" spans="1:4" x14ac:dyDescent="0.2">
      <c r="A1341" s="5">
        <v>1280</v>
      </c>
      <c r="B1341" s="1832">
        <f>'Expenditures 15-22'!D182</f>
        <v>22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22</v>
      </c>
      <c r="C1345" s="2" t="s">
        <v>569</v>
      </c>
      <c r="D1345" s="2" t="str">
        <f t="shared" si="20"/>
        <v>Error?</v>
      </c>
    </row>
    <row r="1346" spans="1:4" x14ac:dyDescent="0.2">
      <c r="A1346" s="5">
        <v>1285</v>
      </c>
      <c r="B1346" s="1832">
        <f>'Expenditures 15-22'!D210</f>
        <v>22</v>
      </c>
      <c r="C1346" s="2" t="s">
        <v>569</v>
      </c>
      <c r="D1346" s="2" t="str">
        <f t="shared" si="20"/>
        <v>Error?</v>
      </c>
    </row>
    <row r="1347" spans="1:4" x14ac:dyDescent="0.2">
      <c r="A1347" s="5">
        <v>1286</v>
      </c>
      <c r="B1347" s="1832">
        <f>'Expenditures 15-22'!E182</f>
        <v>253908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253908</v>
      </c>
      <c r="C1351" s="2" t="s">
        <v>569</v>
      </c>
      <c r="D1351" s="2" t="str">
        <f t="shared" si="20"/>
        <v>Error?</v>
      </c>
    </row>
    <row r="1352" spans="1:4" x14ac:dyDescent="0.2">
      <c r="A1352" s="5">
        <v>1291</v>
      </c>
      <c r="B1352" s="1832">
        <f>'Expenditures 15-22'!E196</f>
        <v>2376</v>
      </c>
      <c r="C1352" s="2" t="s">
        <v>569</v>
      </c>
      <c r="D1352" s="2" t="str">
        <f t="shared" si="20"/>
        <v>Error?</v>
      </c>
    </row>
    <row r="1353" spans="1:4" x14ac:dyDescent="0.2">
      <c r="A1353" s="5">
        <v>1292</v>
      </c>
      <c r="B1353" s="1832">
        <f>'Expenditures 15-22'!E210</f>
        <v>256284</v>
      </c>
      <c r="C1353" s="2" t="s">
        <v>569</v>
      </c>
      <c r="D1353" s="2" t="str">
        <f t="shared" si="20"/>
        <v>Error?</v>
      </c>
    </row>
    <row r="1354" spans="1:4" x14ac:dyDescent="0.2">
      <c r="A1354" s="5">
        <v>1293</v>
      </c>
      <c r="B1354" s="1832">
        <f>'Expenditures 15-22'!F182</f>
        <v>56463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56463</v>
      </c>
      <c r="C1358" s="2" t="s">
        <v>569</v>
      </c>
      <c r="D1358" s="2" t="str">
        <f t="shared" si="20"/>
        <v>Error?</v>
      </c>
    </row>
    <row r="1359" spans="1:4" x14ac:dyDescent="0.2">
      <c r="A1359" s="5">
        <v>1298</v>
      </c>
      <c r="B1359" s="1832">
        <f>'Expenditures 15-22'!F210</f>
        <v>56463</v>
      </c>
      <c r="C1359" s="2" t="s">
        <v>569</v>
      </c>
      <c r="D1359" s="2" t="str">
        <f t="shared" si="20"/>
        <v>Error?</v>
      </c>
    </row>
    <row r="1360" spans="1:4" x14ac:dyDescent="0.2">
      <c r="A1360" s="5">
        <v>1299</v>
      </c>
      <c r="B1360" s="1832">
        <f>'Expenditures 15-22'!G182</f>
        <v>7724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7724</v>
      </c>
      <c r="C1364" s="2" t="s">
        <v>569</v>
      </c>
      <c r="D1364" s="2" t="str">
        <f t="shared" si="20"/>
        <v>Error?</v>
      </c>
    </row>
    <row r="1365" spans="1:4" x14ac:dyDescent="0.2">
      <c r="A1365" s="5">
        <v>1304</v>
      </c>
      <c r="B1365" s="1832">
        <f>'Expenditures 15-22'!G210</f>
        <v>7724</v>
      </c>
      <c r="C1365" s="2" t="s">
        <v>569</v>
      </c>
      <c r="D1365" s="2" t="str">
        <f t="shared" si="20"/>
        <v>Error?</v>
      </c>
    </row>
    <row r="1366" spans="1:4" x14ac:dyDescent="0.2">
      <c r="A1366" s="5">
        <v>1305</v>
      </c>
      <c r="B1366" s="1832">
        <f>'Expenditures 15-22'!H182</f>
        <v>685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685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685</v>
      </c>
      <c r="C1376" s="2" t="s">
        <v>569</v>
      </c>
      <c r="D1376" s="2" t="str">
        <f t="shared" si="20"/>
        <v>Error?</v>
      </c>
    </row>
    <row r="1377" spans="1:4" x14ac:dyDescent="0.2">
      <c r="A1377" s="5">
        <v>1316</v>
      </c>
      <c r="B1377" s="1832">
        <f>'Expenditures 15-22'!K182</f>
        <v>602964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602964</v>
      </c>
      <c r="C1381" s="2" t="s">
        <v>569</v>
      </c>
      <c r="D1381" s="2" t="str">
        <f t="shared" si="20"/>
        <v>Error?</v>
      </c>
    </row>
    <row r="1382" spans="1:4" x14ac:dyDescent="0.2">
      <c r="A1382" s="5">
        <v>1321</v>
      </c>
      <c r="B1382" s="1832">
        <f>'Expenditures 15-22'!K196</f>
        <v>2376</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605340</v>
      </c>
      <c r="C1388" s="2" t="s">
        <v>569</v>
      </c>
      <c r="D1388" s="2" t="str">
        <f t="shared" si="20"/>
        <v>Error?</v>
      </c>
    </row>
    <row r="1389" spans="1:4" x14ac:dyDescent="0.2">
      <c r="A1389" s="5">
        <v>1328</v>
      </c>
      <c r="B1389" s="1832">
        <f>'Expenditures 15-22'!K211</f>
        <v>76077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2248</v>
      </c>
      <c r="D1407" s="2" t="str">
        <f t="shared" ref="D1407:D1470" si="21">IF(ISBLANK(B1407),"OK",IF(A1407-B1407=0,"OK","Error?"))</f>
        <v>Error?</v>
      </c>
    </row>
    <row r="1408" spans="1:4" x14ac:dyDescent="0.2">
      <c r="A1408" s="5">
        <v>1347</v>
      </c>
      <c r="B1408" s="1832">
        <f>'Expenditures 15-22'!D223</f>
        <v>4793</v>
      </c>
      <c r="D1408" s="2" t="str">
        <f t="shared" si="21"/>
        <v>Error?</v>
      </c>
    </row>
    <row r="1409" spans="1:4" x14ac:dyDescent="0.2">
      <c r="A1409" s="5">
        <v>1348</v>
      </c>
      <c r="B1409" s="1832">
        <f>'Expenditures 15-22'!D224</f>
        <v>38</v>
      </c>
      <c r="D1409" s="2" t="str">
        <f t="shared" si="21"/>
        <v>Error?</v>
      </c>
    </row>
    <row r="1410" spans="1:4" x14ac:dyDescent="0.2">
      <c r="A1410" s="5">
        <v>1349</v>
      </c>
      <c r="B1410" s="1832">
        <f>'Expenditures 15-22'!D229</f>
        <v>103158</v>
      </c>
      <c r="C1410" s="2" t="s">
        <v>569</v>
      </c>
      <c r="D1410" s="2" t="str">
        <f t="shared" si="21"/>
        <v>Error?</v>
      </c>
    </row>
    <row r="1411" spans="1:4" x14ac:dyDescent="0.2">
      <c r="A1411" s="5">
        <v>1350</v>
      </c>
      <c r="B1411" s="1832">
        <f>'Expenditures 15-22'!D232</f>
        <v>741</v>
      </c>
      <c r="D1411" s="2" t="str">
        <f t="shared" si="21"/>
        <v>Error?</v>
      </c>
    </row>
    <row r="1412" spans="1:4" x14ac:dyDescent="0.2">
      <c r="A1412" s="5">
        <v>1351</v>
      </c>
      <c r="B1412" s="1832">
        <f>'Expenditures 15-22'!D233</f>
        <v>1778</v>
      </c>
      <c r="D1412" s="2" t="str">
        <f t="shared" si="21"/>
        <v>Error?</v>
      </c>
    </row>
    <row r="1413" spans="1:4" x14ac:dyDescent="0.2">
      <c r="A1413" s="5">
        <v>1352</v>
      </c>
      <c r="B1413" s="1832">
        <f>'Expenditures 15-22'!D234</f>
        <v>1360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1236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5115</v>
      </c>
      <c r="C1417" s="2" t="s">
        <v>569</v>
      </c>
      <c r="D1417" s="2" t="str">
        <f t="shared" si="21"/>
        <v>Error?</v>
      </c>
    </row>
    <row r="1418" spans="1:4" x14ac:dyDescent="0.2">
      <c r="A1418" s="5">
        <v>1357</v>
      </c>
      <c r="B1418" s="1832">
        <f>'Expenditures 15-22'!D240</f>
        <v>23</v>
      </c>
      <c r="D1418" s="2" t="str">
        <f t="shared" si="21"/>
        <v>Error?</v>
      </c>
    </row>
    <row r="1419" spans="1:4" x14ac:dyDescent="0.2">
      <c r="A1419" s="5">
        <v>1358</v>
      </c>
      <c r="B1419" s="1832">
        <f>'Expenditures 15-22'!D241</f>
        <v>9331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9354</v>
      </c>
      <c r="C1421" s="2" t="s">
        <v>569</v>
      </c>
      <c r="D1421" s="2" t="str">
        <f t="shared" si="21"/>
        <v>Error?</v>
      </c>
    </row>
    <row r="1422" spans="1:4" x14ac:dyDescent="0.2">
      <c r="A1422" s="5">
        <v>1361</v>
      </c>
      <c r="B1422" s="1832">
        <f>'Expenditures 15-22'!D245</f>
        <v>571</v>
      </c>
      <c r="D1422" s="2" t="str">
        <f t="shared" si="21"/>
        <v>Error?</v>
      </c>
    </row>
    <row r="1423" spans="1:4" x14ac:dyDescent="0.2">
      <c r="A1423" s="5">
        <v>1362</v>
      </c>
      <c r="B1423" s="1832">
        <f>'Expenditures 15-22'!D246</f>
        <v>4820</v>
      </c>
      <c r="D1423" s="2" t="str">
        <f t="shared" si="21"/>
        <v>Error?</v>
      </c>
    </row>
    <row r="1424" spans="1:4" x14ac:dyDescent="0.2">
      <c r="A1424" s="5">
        <v>1363</v>
      </c>
      <c r="B1424" s="1832">
        <f>'Expenditures 15-22'!D257</f>
        <v>6297</v>
      </c>
      <c r="C1424" s="2" t="s">
        <v>569</v>
      </c>
      <c r="D1424" s="2" t="str">
        <f t="shared" si="21"/>
        <v>Error?</v>
      </c>
    </row>
    <row r="1425" spans="1:4" x14ac:dyDescent="0.2">
      <c r="A1425" s="5">
        <v>1364</v>
      </c>
      <c r="B1425" s="1832">
        <f>'Expenditures 15-22'!D259</f>
        <v>20706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20706</v>
      </c>
      <c r="C1427" s="2" t="s">
        <v>569</v>
      </c>
      <c r="D1427" s="2" t="str">
        <f t="shared" si="21"/>
        <v>Error?</v>
      </c>
    </row>
    <row r="1428" spans="1:4" x14ac:dyDescent="0.2">
      <c r="A1428" s="5">
        <v>1367</v>
      </c>
      <c r="B1428" s="1832">
        <f>'Expenditures 15-22'!D263</f>
        <v>11720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39244</v>
      </c>
      <c r="D1431" s="2" t="str">
        <f t="shared" si="21"/>
        <v>Error?</v>
      </c>
    </row>
    <row r="1432" spans="1:4" x14ac:dyDescent="0.2">
      <c r="A1432" s="5">
        <v>1371</v>
      </c>
      <c r="B1432" s="1832">
        <f>'Expenditures 15-22'!D267</f>
        <v>22720</v>
      </c>
      <c r="D1432" s="2" t="str">
        <f t="shared" si="21"/>
        <v>Error?</v>
      </c>
    </row>
    <row r="1433" spans="1:4" x14ac:dyDescent="0.2">
      <c r="A1433" s="5">
        <v>1372</v>
      </c>
      <c r="B1433" s="1832">
        <f>'Expenditures 15-22'!D268</f>
        <v>37399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111083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152555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255713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2248</v>
      </c>
      <c r="C1471" s="2" t="s">
        <v>569</v>
      </c>
      <c r="D1471" s="2" t="str">
        <f t="shared" ref="D1471:D1534" si="22">IF(ISBLANK(B1471),"OK",IF(A1471-B1471=0,"OK","Error?"))</f>
        <v>Error?</v>
      </c>
    </row>
    <row r="1472" spans="1:4" x14ac:dyDescent="0.2">
      <c r="A1472" s="5">
        <v>1411</v>
      </c>
      <c r="B1472" s="1832">
        <f>'Expenditures 15-22'!K223</f>
        <v>4793</v>
      </c>
      <c r="C1472" s="2" t="s">
        <v>569</v>
      </c>
      <c r="D1472" s="2" t="str">
        <f t="shared" si="22"/>
        <v>Error?</v>
      </c>
    </row>
    <row r="1473" spans="1:4" x14ac:dyDescent="0.2">
      <c r="A1473" s="5">
        <v>1412</v>
      </c>
      <c r="B1473" s="1832">
        <f>'Expenditures 15-22'!K224</f>
        <v>38</v>
      </c>
      <c r="C1473" s="2" t="s">
        <v>569</v>
      </c>
      <c r="D1473" s="2" t="str">
        <f t="shared" si="22"/>
        <v>Error?</v>
      </c>
    </row>
    <row r="1474" spans="1:4" x14ac:dyDescent="0.2">
      <c r="A1474" s="5">
        <v>1413</v>
      </c>
      <c r="B1474" s="1832">
        <f>'Expenditures 15-22'!K229</f>
        <v>103158</v>
      </c>
      <c r="C1474" s="2" t="s">
        <v>569</v>
      </c>
      <c r="D1474" s="2" t="str">
        <f t="shared" si="22"/>
        <v>Error?</v>
      </c>
    </row>
    <row r="1475" spans="1:4" x14ac:dyDescent="0.2">
      <c r="A1475" s="5">
        <v>1414</v>
      </c>
      <c r="B1475" s="1832">
        <f>'Expenditures 15-22'!K232</f>
        <v>741</v>
      </c>
      <c r="C1475" s="2" t="s">
        <v>569</v>
      </c>
      <c r="D1475" s="2" t="str">
        <f t="shared" si="22"/>
        <v>Error?</v>
      </c>
    </row>
    <row r="1476" spans="1:4" x14ac:dyDescent="0.2">
      <c r="A1476" s="5">
        <v>1415</v>
      </c>
      <c r="B1476" s="1832">
        <f>'Expenditures 15-22'!K233</f>
        <v>1778</v>
      </c>
      <c r="C1476" s="2" t="s">
        <v>569</v>
      </c>
      <c r="D1476" s="2" t="str">
        <f t="shared" si="22"/>
        <v>Error?</v>
      </c>
    </row>
    <row r="1477" spans="1:4" x14ac:dyDescent="0.2">
      <c r="A1477" s="5">
        <v>1416</v>
      </c>
      <c r="B1477" s="1832">
        <f>'Expenditures 15-22'!K234</f>
        <v>1360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1236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5115</v>
      </c>
      <c r="C1481" s="2" t="s">
        <v>569</v>
      </c>
      <c r="D1481" s="2" t="str">
        <f t="shared" si="22"/>
        <v>Error?</v>
      </c>
    </row>
    <row r="1482" spans="1:4" x14ac:dyDescent="0.2">
      <c r="A1482" s="5">
        <v>1421</v>
      </c>
      <c r="B1482" s="1832">
        <f>'Expenditures 15-22'!K240</f>
        <v>23</v>
      </c>
      <c r="C1482" s="2" t="s">
        <v>569</v>
      </c>
      <c r="D1482" s="2" t="str">
        <f t="shared" si="22"/>
        <v>Error?</v>
      </c>
    </row>
    <row r="1483" spans="1:4" x14ac:dyDescent="0.2">
      <c r="A1483" s="5">
        <v>1422</v>
      </c>
      <c r="B1483" s="1832">
        <f>'Expenditures 15-22'!K241</f>
        <v>9331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9354</v>
      </c>
      <c r="C1485" s="2" t="s">
        <v>569</v>
      </c>
      <c r="D1485" s="2" t="str">
        <f t="shared" si="22"/>
        <v>Error?</v>
      </c>
    </row>
    <row r="1486" spans="1:4" x14ac:dyDescent="0.2">
      <c r="A1486" s="5">
        <v>1425</v>
      </c>
      <c r="B1486" s="1832">
        <f>'Expenditures 15-22'!K245</f>
        <v>571</v>
      </c>
      <c r="C1486" s="2" t="s">
        <v>569</v>
      </c>
      <c r="D1486" s="2" t="str">
        <f t="shared" si="22"/>
        <v>Error?</v>
      </c>
    </row>
    <row r="1487" spans="1:4" x14ac:dyDescent="0.2">
      <c r="A1487" s="5">
        <v>1426</v>
      </c>
      <c r="B1487" s="1832">
        <f>'Expenditures 15-22'!K246</f>
        <v>4820</v>
      </c>
      <c r="C1487" s="2" t="s">
        <v>569</v>
      </c>
      <c r="D1487" s="2" t="str">
        <f t="shared" si="22"/>
        <v>Error?</v>
      </c>
    </row>
    <row r="1488" spans="1:4" x14ac:dyDescent="0.2">
      <c r="A1488" s="5">
        <v>1427</v>
      </c>
      <c r="B1488" s="1832">
        <f>'Expenditures 15-22'!K257</f>
        <v>6297</v>
      </c>
      <c r="C1488" s="2" t="s">
        <v>569</v>
      </c>
      <c r="D1488" s="2" t="str">
        <f t="shared" si="22"/>
        <v>Error?</v>
      </c>
    </row>
    <row r="1489" spans="1:4" x14ac:dyDescent="0.2">
      <c r="A1489" s="5">
        <v>1428</v>
      </c>
      <c r="B1489" s="1832">
        <f>'Expenditures 15-22'!K259</f>
        <v>20706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20706</v>
      </c>
      <c r="C1491" s="2" t="s">
        <v>569</v>
      </c>
      <c r="D1491" s="2" t="str">
        <f t="shared" si="22"/>
        <v>Error?</v>
      </c>
    </row>
    <row r="1492" spans="1:4" x14ac:dyDescent="0.2">
      <c r="A1492" s="5">
        <v>1431</v>
      </c>
      <c r="B1492" s="1832">
        <f>'Expenditures 15-22'!K263</f>
        <v>11720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39244</v>
      </c>
      <c r="C1495" s="2" t="s">
        <v>569</v>
      </c>
      <c r="D1495" s="2" t="str">
        <f t="shared" si="22"/>
        <v>Error?</v>
      </c>
    </row>
    <row r="1496" spans="1:4" x14ac:dyDescent="0.2">
      <c r="A1496" s="5">
        <v>1435</v>
      </c>
      <c r="B1496" s="1832">
        <f>'Expenditures 15-22'!K267</f>
        <v>22720</v>
      </c>
      <c r="C1496" s="2" t="s">
        <v>569</v>
      </c>
      <c r="D1496" s="2" t="str">
        <f t="shared" si="22"/>
        <v>Error?</v>
      </c>
    </row>
    <row r="1497" spans="1:4" x14ac:dyDescent="0.2">
      <c r="A1497" s="5">
        <v>1436</v>
      </c>
      <c r="B1497" s="1832">
        <f>'Expenditures 15-22'!K268</f>
        <v>37399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111083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152555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255713</v>
      </c>
      <c r="C1517" s="2" t="s">
        <v>569</v>
      </c>
      <c r="D1517" s="2" t="str">
        <f t="shared" si="22"/>
        <v>Error?</v>
      </c>
    </row>
    <row r="1518" spans="1:4" x14ac:dyDescent="0.2">
      <c r="A1518" s="5">
        <v>1457</v>
      </c>
      <c r="B1518" s="1832">
        <f>'Expenditures 15-22'!K296</f>
        <v>32897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4874280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4987813</v>
      </c>
      <c r="C1630" s="2" t="s">
        <v>569</v>
      </c>
      <c r="D1630" s="2" t="str">
        <f t="shared" si="24"/>
        <v>Error?</v>
      </c>
    </row>
    <row r="1631" spans="1:4" x14ac:dyDescent="0.2">
      <c r="A1631" s="5">
        <v>1570</v>
      </c>
      <c r="B1631" s="1832">
        <f>'Acct Summary 7-8'!D79</f>
        <v>724255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772632</v>
      </c>
      <c r="C1644" s="2" t="s">
        <v>569</v>
      </c>
      <c r="D1644" s="2" t="str">
        <f t="shared" si="24"/>
        <v>Error?</v>
      </c>
    </row>
    <row r="1645" spans="1:4" x14ac:dyDescent="0.2">
      <c r="A1645" s="5">
        <v>1584</v>
      </c>
      <c r="B1645" s="1832">
        <f>'Acct Summary 7-8'!E79</f>
        <v>119109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125541</v>
      </c>
      <c r="C1658" s="2" t="s">
        <v>569</v>
      </c>
      <c r="D1658" s="2" t="str">
        <f t="shared" si="24"/>
        <v>Error?</v>
      </c>
    </row>
    <row r="1659" spans="1:4" x14ac:dyDescent="0.2">
      <c r="A1659" s="5">
        <v>1598</v>
      </c>
      <c r="B1659" s="1832">
        <f>'Acct Summary 7-8'!F79</f>
        <v>1181641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1287718</v>
      </c>
      <c r="C1672" s="2" t="s">
        <v>569</v>
      </c>
      <c r="D1672" s="2" t="str">
        <f t="shared" si="25"/>
        <v>Error?</v>
      </c>
    </row>
    <row r="1673" spans="1:4" x14ac:dyDescent="0.2">
      <c r="A1673" s="5">
        <v>1612</v>
      </c>
      <c r="B1673" s="1832">
        <f>'Acct Summary 7-8'!G79</f>
        <v>106337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139234</v>
      </c>
      <c r="C1686" s="2" t="s">
        <v>569</v>
      </c>
      <c r="D1686" s="2" t="str">
        <f t="shared" si="25"/>
        <v>Error?</v>
      </c>
    </row>
    <row r="1687" spans="1:4" x14ac:dyDescent="0.2">
      <c r="A1687" s="5">
        <v>1626</v>
      </c>
      <c r="B1687" s="1832">
        <f>'Acct Summary 7-8'!H79</f>
        <v>5729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5731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4600031</v>
      </c>
      <c r="C1744" s="2" t="s">
        <v>569</v>
      </c>
      <c r="D1744" s="2" t="str">
        <f t="shared" si="26"/>
        <v>Error?</v>
      </c>
    </row>
    <row r="1745" spans="1:5" x14ac:dyDescent="0.2">
      <c r="A1745" s="5">
        <v>1684</v>
      </c>
      <c r="B1745" s="1832">
        <f>'Tax Sched 23'!B5</f>
        <v>799941</v>
      </c>
      <c r="C1745" s="2" t="s">
        <v>569</v>
      </c>
      <c r="D1745" s="2" t="str">
        <f t="shared" si="26"/>
        <v>Error?</v>
      </c>
    </row>
    <row r="1746" spans="1:5" x14ac:dyDescent="0.2">
      <c r="A1746" s="5">
        <v>1685</v>
      </c>
      <c r="B1746" s="1832">
        <f>'Tax Sched 23'!B6</f>
        <v>863085</v>
      </c>
      <c r="C1746" s="2" t="s">
        <v>569</v>
      </c>
      <c r="D1746" s="2" t="str">
        <f t="shared" si="26"/>
        <v>Error?</v>
      </c>
    </row>
    <row r="1747" spans="1:5" x14ac:dyDescent="0.2">
      <c r="A1747" s="5">
        <v>1686</v>
      </c>
      <c r="B1747" s="1832">
        <f>'Tax Sched 23'!B7</f>
        <v>299990</v>
      </c>
      <c r="C1747" s="2" t="s">
        <v>569</v>
      </c>
      <c r="D1747" s="2" t="str">
        <f t="shared" si="26"/>
        <v>Error?</v>
      </c>
    </row>
    <row r="1748" spans="1:5" x14ac:dyDescent="0.2">
      <c r="A1748" s="5">
        <v>1687</v>
      </c>
      <c r="B1748" s="1832">
        <f>'Tax Sched 23'!B8</f>
        <v>100007</v>
      </c>
      <c r="C1748" s="2" t="s">
        <v>569</v>
      </c>
      <c r="D1748" s="2" t="str">
        <f t="shared" si="26"/>
        <v>Error?</v>
      </c>
    </row>
    <row r="1749" spans="1:5" x14ac:dyDescent="0.2">
      <c r="A1749" s="5">
        <v>1688</v>
      </c>
      <c r="B1749" s="1832">
        <f>'Tax Sched 23'!B10</f>
        <v>80005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270043</v>
      </c>
      <c r="C1752" s="2" t="s">
        <v>569</v>
      </c>
      <c r="D1752" s="2" t="str">
        <f t="shared" si="26"/>
        <v>Error?</v>
      </c>
    </row>
    <row r="1753" spans="1:5" x14ac:dyDescent="0.2">
      <c r="A1753" s="5">
        <v>1692</v>
      </c>
      <c r="B1753" s="1832">
        <f>'Tax Sched 23'!B12</f>
        <v>80005</v>
      </c>
      <c r="C1753" s="2" t="s">
        <v>569</v>
      </c>
      <c r="D1753" s="2" t="str">
        <f t="shared" si="26"/>
        <v>Error?</v>
      </c>
    </row>
    <row r="1754" spans="1:5" x14ac:dyDescent="0.2">
      <c r="A1754" s="5">
        <v>1693</v>
      </c>
      <c r="B1754" s="1832">
        <f>'Tax Sched 23'!B14</f>
        <v>65562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7413691</v>
      </c>
      <c r="C1759" s="2" t="s">
        <v>569</v>
      </c>
      <c r="D1759" s="2" t="str">
        <f t="shared" si="26"/>
        <v>Error?</v>
      </c>
    </row>
    <row r="1760" spans="1:5" x14ac:dyDescent="0.2">
      <c r="A1760" s="5">
        <v>1699</v>
      </c>
      <c r="B1760" s="1832">
        <f>'Tax Sched 23'!D4</f>
        <v>4600031</v>
      </c>
      <c r="C1760" s="2" t="s">
        <v>569</v>
      </c>
      <c r="D1760" s="2" t="str">
        <f t="shared" si="26"/>
        <v>Error?</v>
      </c>
    </row>
    <row r="1761" spans="1:7" x14ac:dyDescent="0.2">
      <c r="A1761" s="5">
        <v>1700</v>
      </c>
      <c r="B1761" s="1832">
        <f>'Tax Sched 23'!D5</f>
        <v>799941</v>
      </c>
      <c r="C1761" s="2" t="s">
        <v>569</v>
      </c>
      <c r="D1761" s="2" t="str">
        <f t="shared" si="26"/>
        <v>Error?</v>
      </c>
    </row>
    <row r="1762" spans="1:7" s="8" customFormat="1" x14ac:dyDescent="0.2">
      <c r="A1762" s="5">
        <v>1701</v>
      </c>
      <c r="B1762" s="1832">
        <f>'Tax Sched 23'!D6</f>
        <v>863085</v>
      </c>
      <c r="C1762" s="2" t="s">
        <v>569</v>
      </c>
      <c r="D1762" s="2" t="str">
        <f t="shared" si="26"/>
        <v>Error?</v>
      </c>
      <c r="E1762" s="9"/>
      <c r="G1762"/>
    </row>
    <row r="1763" spans="1:7" x14ac:dyDescent="0.2">
      <c r="A1763" s="5">
        <v>1702</v>
      </c>
      <c r="B1763" s="1832">
        <f>'Tax Sched 23'!D7</f>
        <v>299990</v>
      </c>
      <c r="C1763" s="2" t="s">
        <v>569</v>
      </c>
      <c r="D1763" s="2" t="str">
        <f t="shared" si="26"/>
        <v>Error?</v>
      </c>
    </row>
    <row r="1764" spans="1:7" x14ac:dyDescent="0.2">
      <c r="A1764" s="5">
        <v>1703</v>
      </c>
      <c r="B1764" s="1832">
        <f>'Tax Sched 23'!D8</f>
        <v>100007</v>
      </c>
      <c r="C1764" s="2" t="s">
        <v>569</v>
      </c>
      <c r="D1764" s="2" t="str">
        <f t="shared" si="26"/>
        <v>Error?</v>
      </c>
    </row>
    <row r="1765" spans="1:7" x14ac:dyDescent="0.2">
      <c r="A1765" s="5">
        <v>1704</v>
      </c>
      <c r="B1765" s="1832">
        <f>'Tax Sched 23'!D10</f>
        <v>80005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270043</v>
      </c>
      <c r="C1768" s="2" t="s">
        <v>569</v>
      </c>
      <c r="D1768" s="2" t="str">
        <f t="shared" si="26"/>
        <v>Error?</v>
      </c>
    </row>
    <row r="1769" spans="1:7" x14ac:dyDescent="0.2">
      <c r="A1769" s="5">
        <v>1708</v>
      </c>
      <c r="B1769" s="1832">
        <f>'Tax Sched 23'!D12</f>
        <v>80005</v>
      </c>
      <c r="C1769" s="2" t="s">
        <v>569</v>
      </c>
      <c r="D1769" s="2" t="str">
        <f t="shared" si="26"/>
        <v>Error?</v>
      </c>
    </row>
    <row r="1770" spans="1:7" x14ac:dyDescent="0.2">
      <c r="A1770" s="5">
        <v>1709</v>
      </c>
      <c r="B1770" s="1832">
        <f>'Tax Sched 23'!D14</f>
        <v>65562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7413691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4800017</v>
      </c>
      <c r="C1792" s="2" t="s">
        <v>569</v>
      </c>
      <c r="D1792" s="2" t="str">
        <f t="shared" si="27"/>
        <v>Error?</v>
      </c>
    </row>
    <row r="1793" spans="1:4" x14ac:dyDescent="0.2">
      <c r="A1793" s="5">
        <v>1732</v>
      </c>
      <c r="B1793" s="1832">
        <f>'Tax Sched 23'!F5</f>
        <v>852001</v>
      </c>
      <c r="C1793" s="2" t="s">
        <v>569</v>
      </c>
      <c r="D1793" s="2" t="str">
        <f t="shared" si="27"/>
        <v>Error?</v>
      </c>
    </row>
    <row r="1794" spans="1:4" x14ac:dyDescent="0.2">
      <c r="A1794" s="5">
        <v>1733</v>
      </c>
      <c r="B1794" s="1832">
        <f>'Tax Sched 23'!F6</f>
        <v>872746</v>
      </c>
      <c r="C1794" s="2" t="s">
        <v>569</v>
      </c>
      <c r="D1794" s="2" t="str">
        <f t="shared" si="27"/>
        <v>Error?</v>
      </c>
    </row>
    <row r="1795" spans="1:4" x14ac:dyDescent="0.2">
      <c r="A1795" s="5">
        <v>1734</v>
      </c>
      <c r="B1795" s="1832">
        <f>'Tax Sched 23'!F7</f>
        <v>340004</v>
      </c>
      <c r="C1795" s="2" t="s">
        <v>569</v>
      </c>
      <c r="D1795" s="2" t="str">
        <f t="shared" si="27"/>
        <v>Error?</v>
      </c>
    </row>
    <row r="1796" spans="1:4" x14ac:dyDescent="0.2">
      <c r="A1796" s="5">
        <v>1735</v>
      </c>
      <c r="B1796" s="1832">
        <f>'Tax Sched 23'!F8</f>
        <v>105011</v>
      </c>
      <c r="C1796" s="2" t="s">
        <v>569</v>
      </c>
      <c r="D1796" s="2" t="str">
        <f t="shared" si="27"/>
        <v>Error?</v>
      </c>
    </row>
    <row r="1797" spans="1:4" x14ac:dyDescent="0.2">
      <c r="A1797" s="5">
        <v>1736</v>
      </c>
      <c r="B1797" s="1832">
        <f>'Tax Sched 23'!F10</f>
        <v>85014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280013</v>
      </c>
      <c r="C1800" s="2" t="s">
        <v>569</v>
      </c>
      <c r="D1800" s="2" t="str">
        <f t="shared" si="27"/>
        <v>Error?</v>
      </c>
    </row>
    <row r="1801" spans="1:4" x14ac:dyDescent="0.2">
      <c r="A1801" s="5">
        <v>1740</v>
      </c>
      <c r="B1801" s="1832">
        <f>'Tax Sched 23'!F12</f>
        <v>85014</v>
      </c>
      <c r="C1801" s="2" t="s">
        <v>569</v>
      </c>
      <c r="D1801" s="2" t="str">
        <f t="shared" si="27"/>
        <v>Error?</v>
      </c>
    </row>
    <row r="1802" spans="1:4" x14ac:dyDescent="0.2">
      <c r="A1802" s="5">
        <v>1741</v>
      </c>
      <c r="B1802" s="1832">
        <f>'Tax Sched 23'!F14</f>
        <v>68008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7749843</v>
      </c>
      <c r="C1807" s="2" t="s">
        <v>569</v>
      </c>
      <c r="D1807" s="2" t="str">
        <f t="shared" si="27"/>
        <v>Error?</v>
      </c>
    </row>
    <row r="1808" spans="1:4" x14ac:dyDescent="0.2">
      <c r="A1808" s="5">
        <v>1747</v>
      </c>
      <c r="B1808" s="1832">
        <f>'Tax Sched 23'!E4</f>
        <v>4800017</v>
      </c>
      <c r="D1808" s="2" t="str">
        <f t="shared" si="27"/>
        <v>Error?</v>
      </c>
    </row>
    <row r="1809" spans="1:4" x14ac:dyDescent="0.2">
      <c r="A1809" s="5">
        <v>1748</v>
      </c>
      <c r="B1809" s="1832">
        <f>'Tax Sched 23'!E5</f>
        <v>852001</v>
      </c>
      <c r="D1809" s="2" t="str">
        <f t="shared" si="27"/>
        <v>Error?</v>
      </c>
    </row>
    <row r="1810" spans="1:4" x14ac:dyDescent="0.2">
      <c r="A1810" s="5">
        <v>1749</v>
      </c>
      <c r="B1810" s="1832">
        <f>'Tax Sched 23'!E6</f>
        <v>872746</v>
      </c>
      <c r="D1810" s="2" t="str">
        <f t="shared" si="27"/>
        <v>Error?</v>
      </c>
    </row>
    <row r="1811" spans="1:4" x14ac:dyDescent="0.2">
      <c r="A1811" s="5">
        <v>1750</v>
      </c>
      <c r="B1811" s="1832">
        <f>'Tax Sched 23'!E7</f>
        <v>340004</v>
      </c>
      <c r="D1811" s="2" t="str">
        <f t="shared" si="27"/>
        <v>Error?</v>
      </c>
    </row>
    <row r="1812" spans="1:4" x14ac:dyDescent="0.2">
      <c r="A1812" s="5">
        <v>1751</v>
      </c>
      <c r="B1812" s="1832">
        <f>'Tax Sched 23'!E8</f>
        <v>105011</v>
      </c>
      <c r="D1812" s="2" t="str">
        <f t="shared" si="27"/>
        <v>Error?</v>
      </c>
    </row>
    <row r="1813" spans="1:4" x14ac:dyDescent="0.2">
      <c r="A1813" s="5">
        <v>1752</v>
      </c>
      <c r="B1813" s="1832">
        <f>'Tax Sched 23'!E10</f>
        <v>85014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280013</v>
      </c>
      <c r="D1816" s="2" t="str">
        <f t="shared" si="27"/>
        <v>Error?</v>
      </c>
    </row>
    <row r="1817" spans="1:4" x14ac:dyDescent="0.2">
      <c r="A1817" s="5">
        <v>1756</v>
      </c>
      <c r="B1817" s="1832">
        <f>'Tax Sched 23'!E12</f>
        <v>85014</v>
      </c>
      <c r="D1817" s="2" t="str">
        <f t="shared" si="27"/>
        <v>Error?</v>
      </c>
    </row>
    <row r="1818" spans="1:4" x14ac:dyDescent="0.2">
      <c r="A1818" s="5">
        <v>1757</v>
      </c>
      <c r="B1818" s="1832">
        <f>'Tax Sched 23'!E14</f>
        <v>68008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7749843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4020000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65562</v>
      </c>
      <c r="D1972" s="2" t="str">
        <f t="shared" si="29"/>
        <v>Error?</v>
      </c>
    </row>
    <row r="1973" spans="1:5" x14ac:dyDescent="0.2">
      <c r="A1973" s="5">
        <v>1912</v>
      </c>
      <c r="B1973" s="1832">
        <f>'Rest Tax Levies-Tort Im 25'!H6</f>
        <v>58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65620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65620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398401</v>
      </c>
      <c r="D2008" s="2" t="str">
        <f t="shared" si="30"/>
        <v>Error?</v>
      </c>
    </row>
    <row r="2009" spans="1:4" x14ac:dyDescent="0.2">
      <c r="A2009" s="5">
        <v>1948</v>
      </c>
      <c r="B2009" s="1832">
        <f>'Cap Outlay Deprec 26'!C8</f>
        <v>14212033</v>
      </c>
      <c r="D2009" s="2" t="str">
        <f t="shared" si="30"/>
        <v>Error?</v>
      </c>
    </row>
    <row r="2010" spans="1:4" x14ac:dyDescent="0.2">
      <c r="A2010" s="5">
        <v>1949</v>
      </c>
      <c r="B2010" s="1832">
        <f>'Cap Outlay Deprec 26'!C10</f>
        <v>191668</v>
      </c>
      <c r="D2010" s="2" t="str">
        <f t="shared" si="30"/>
        <v>Error?</v>
      </c>
    </row>
    <row r="2011" spans="1:4" x14ac:dyDescent="0.2">
      <c r="A2011" s="5">
        <v>1950</v>
      </c>
      <c r="B2011" s="1832">
        <f>'Cap Outlay Deprec 26'!C12</f>
        <v>441714</v>
      </c>
      <c r="D2011" s="2" t="str">
        <f t="shared" si="30"/>
        <v>Error?</v>
      </c>
    </row>
    <row r="2012" spans="1:4" x14ac:dyDescent="0.2">
      <c r="A2012" s="5">
        <v>1951</v>
      </c>
      <c r="B2012" s="1832">
        <f>'Cap Outlay Deprec 26'!C13</f>
        <v>335369</v>
      </c>
      <c r="D2012" s="2" t="str">
        <f t="shared" si="30"/>
        <v>Error?</v>
      </c>
    </row>
    <row r="2013" spans="1:4" x14ac:dyDescent="0.2">
      <c r="A2013" s="5">
        <v>1952</v>
      </c>
      <c r="B2013" s="1832">
        <f>'Cap Outlay Deprec 26'!C16</f>
        <v>15579185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142800</v>
      </c>
      <c r="D2015" s="2" t="str">
        <f t="shared" si="30"/>
        <v>Error?</v>
      </c>
    </row>
    <row r="2016" spans="1:4" x14ac:dyDescent="0.2">
      <c r="A2016" s="5">
        <v>1955</v>
      </c>
      <c r="B2016" s="1832">
        <f>'Cap Outlay Deprec 26'!D10</f>
        <v>40180</v>
      </c>
      <c r="D2016" s="2" t="str">
        <f t="shared" si="30"/>
        <v>Error?</v>
      </c>
    </row>
    <row r="2017" spans="1:4" x14ac:dyDescent="0.2">
      <c r="A2017" s="5">
        <v>1956</v>
      </c>
      <c r="B2017" s="1832">
        <f>'Cap Outlay Deprec 26'!D12</f>
        <v>58116</v>
      </c>
      <c r="D2017" s="2" t="str">
        <f t="shared" si="30"/>
        <v>Error?</v>
      </c>
    </row>
    <row r="2018" spans="1:4" x14ac:dyDescent="0.2">
      <c r="A2018" s="5">
        <v>1957</v>
      </c>
      <c r="B2018" s="1832">
        <f>'Cap Outlay Deprec 26'!D13</f>
        <v>6106</v>
      </c>
      <c r="D2018" s="2" t="str">
        <f t="shared" si="30"/>
        <v>Error?</v>
      </c>
    </row>
    <row r="2019" spans="1:4" x14ac:dyDescent="0.2">
      <c r="A2019" s="5">
        <v>1958</v>
      </c>
      <c r="B2019" s="1832">
        <f>'Cap Outlay Deprec 26'!D16</f>
        <v>248820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17774</v>
      </c>
      <c r="D2023" s="2" t="str">
        <f t="shared" si="30"/>
        <v>Error?</v>
      </c>
    </row>
    <row r="2024" spans="1:4" x14ac:dyDescent="0.2">
      <c r="A2024" s="5">
        <v>1963</v>
      </c>
      <c r="B2024" s="1832">
        <f>'Cap Outlay Deprec 26'!E13</f>
        <v>45500</v>
      </c>
      <c r="D2024" s="2" t="str">
        <f t="shared" si="30"/>
        <v>Error?</v>
      </c>
    </row>
    <row r="2025" spans="1:4" x14ac:dyDescent="0.2">
      <c r="A2025" s="5">
        <v>1964</v>
      </c>
      <c r="B2025" s="1832">
        <f>'Cap Outlay Deprec 26'!E16</f>
        <v>63274</v>
      </c>
      <c r="C2025" s="2" t="s">
        <v>569</v>
      </c>
      <c r="D2025" s="2" t="str">
        <f t="shared" si="30"/>
        <v>Error?</v>
      </c>
    </row>
    <row r="2026" spans="1:4" x14ac:dyDescent="0.2">
      <c r="A2026" s="5">
        <v>1965</v>
      </c>
      <c r="B2026" s="1832">
        <f>'Cap Outlay Deprec 26'!F5</f>
        <v>398401</v>
      </c>
      <c r="C2026" s="2" t="s">
        <v>569</v>
      </c>
      <c r="D2026" s="2" t="str">
        <f t="shared" si="30"/>
        <v>Error?</v>
      </c>
    </row>
    <row r="2027" spans="1:4" x14ac:dyDescent="0.2">
      <c r="A2027" s="5">
        <v>1966</v>
      </c>
      <c r="B2027" s="1832">
        <f>'Cap Outlay Deprec 26'!F8</f>
        <v>14354833</v>
      </c>
      <c r="C2027" s="2" t="s">
        <v>569</v>
      </c>
      <c r="D2027" s="2" t="str">
        <f t="shared" si="30"/>
        <v>Error?</v>
      </c>
    </row>
    <row r="2028" spans="1:4" x14ac:dyDescent="0.2">
      <c r="A2028" s="5">
        <v>1967</v>
      </c>
      <c r="B2028" s="1832">
        <f>'Cap Outlay Deprec 26'!F10</f>
        <v>231848</v>
      </c>
      <c r="C2028" s="2" t="s">
        <v>569</v>
      </c>
      <c r="D2028" s="2" t="str">
        <f t="shared" si="30"/>
        <v>Error?</v>
      </c>
    </row>
    <row r="2029" spans="1:4" x14ac:dyDescent="0.2">
      <c r="A2029" s="5">
        <v>1968</v>
      </c>
      <c r="B2029" s="1832">
        <f>'Cap Outlay Deprec 26'!F12</f>
        <v>482056</v>
      </c>
      <c r="C2029" s="2" t="s">
        <v>569</v>
      </c>
      <c r="D2029" s="2" t="str">
        <f t="shared" si="30"/>
        <v>Error?</v>
      </c>
    </row>
    <row r="2030" spans="1:4" x14ac:dyDescent="0.2">
      <c r="A2030" s="5">
        <v>1969</v>
      </c>
      <c r="B2030" s="1832">
        <f>'Cap Outlay Deprec 26'!F13</f>
        <v>295975</v>
      </c>
      <c r="C2030" s="2" t="s">
        <v>569</v>
      </c>
      <c r="D2030" s="2" t="str">
        <f t="shared" si="30"/>
        <v>Error?</v>
      </c>
    </row>
    <row r="2031" spans="1:4" x14ac:dyDescent="0.2">
      <c r="A2031" s="5">
        <v>1970</v>
      </c>
      <c r="B2031" s="1832">
        <f>'Cap Outlay Deprec 26'!F16</f>
        <v>15764731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6005643</v>
      </c>
      <c r="D2033" s="2" t="str">
        <f t="shared" si="30"/>
        <v>Error?</v>
      </c>
    </row>
    <row r="2034" spans="1:4" x14ac:dyDescent="0.2">
      <c r="A2034" s="5">
        <v>1973</v>
      </c>
      <c r="B2034" s="1832">
        <f>'Cap Outlay Deprec 26'!H10</f>
        <v>165965</v>
      </c>
      <c r="D2034" s="2" t="str">
        <f t="shared" si="30"/>
        <v>Error?</v>
      </c>
    </row>
    <row r="2035" spans="1:4" x14ac:dyDescent="0.2">
      <c r="A2035" s="5">
        <v>1974</v>
      </c>
      <c r="B2035" s="1832">
        <f>'Cap Outlay Deprec 26'!H12</f>
        <v>221678</v>
      </c>
      <c r="D2035" s="2" t="str">
        <f t="shared" si="30"/>
        <v>Error?</v>
      </c>
    </row>
    <row r="2036" spans="1:4" x14ac:dyDescent="0.2">
      <c r="A2036" s="5">
        <v>1975</v>
      </c>
      <c r="B2036" s="1832">
        <f>'Cap Outlay Deprec 26'!H13</f>
        <v>239159</v>
      </c>
      <c r="D2036" s="2" t="str">
        <f t="shared" si="30"/>
        <v>Error?</v>
      </c>
    </row>
    <row r="2037" spans="1:4" x14ac:dyDescent="0.2">
      <c r="A2037" s="5">
        <v>1976</v>
      </c>
      <c r="B2037" s="1832">
        <f>'Cap Outlay Deprec 26'!H16</f>
        <v>6632445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241717</v>
      </c>
      <c r="D2039" s="2" t="str">
        <f t="shared" si="30"/>
        <v>Error?</v>
      </c>
    </row>
    <row r="2040" spans="1:4" x14ac:dyDescent="0.2">
      <c r="A2040" s="5">
        <v>1979</v>
      </c>
      <c r="B2040" s="1832">
        <f>'Cap Outlay Deprec 26'!I10</f>
        <v>4134</v>
      </c>
      <c r="D2040" s="2" t="str">
        <f t="shared" si="30"/>
        <v>Error?</v>
      </c>
    </row>
    <row r="2041" spans="1:4" x14ac:dyDescent="0.2">
      <c r="A2041" s="5">
        <v>1980</v>
      </c>
      <c r="B2041" s="1832">
        <f>'Cap Outlay Deprec 26'!I12</f>
        <v>48205</v>
      </c>
      <c r="D2041" s="2" t="str">
        <f t="shared" si="30"/>
        <v>Error?</v>
      </c>
    </row>
    <row r="2042" spans="1:4" x14ac:dyDescent="0.2">
      <c r="A2042" s="5">
        <v>1981</v>
      </c>
      <c r="B2042" s="1832">
        <f>'Cap Outlay Deprec 26'!I13</f>
        <v>17197</v>
      </c>
      <c r="D2042" s="2" t="str">
        <f t="shared" si="30"/>
        <v>Error?</v>
      </c>
    </row>
    <row r="2043" spans="1:4" x14ac:dyDescent="0.2">
      <c r="A2043" s="5">
        <v>1982</v>
      </c>
      <c r="B2043" s="1832">
        <f>'Cap Outlay Deprec 26'!I16</f>
        <v>311792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17774</v>
      </c>
      <c r="D2047" s="2" t="str">
        <f t="shared" ref="D2047:D2110" si="31">IF(ISBLANK(B2047),"OK",IF(A2047-B2047=0,"OK","Error?"))</f>
        <v>Error?</v>
      </c>
    </row>
    <row r="2048" spans="1:4" x14ac:dyDescent="0.2">
      <c r="A2048" s="5">
        <v>1987</v>
      </c>
      <c r="B2048" s="1832">
        <f>'Cap Outlay Deprec 26'!J13</f>
        <v>9100</v>
      </c>
      <c r="D2048" s="2" t="str">
        <f t="shared" si="31"/>
        <v>Error?</v>
      </c>
    </row>
    <row r="2049" spans="1:4" x14ac:dyDescent="0.2">
      <c r="A2049" s="5">
        <v>1988</v>
      </c>
      <c r="B2049" s="1832">
        <f>'Cap Outlay Deprec 26'!J16</f>
        <v>26874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6247360</v>
      </c>
      <c r="C2051" s="2" t="s">
        <v>569</v>
      </c>
      <c r="D2051" s="2" t="str">
        <f t="shared" si="31"/>
        <v>Error?</v>
      </c>
    </row>
    <row r="2052" spans="1:4" x14ac:dyDescent="0.2">
      <c r="A2052" s="5">
        <v>1991</v>
      </c>
      <c r="B2052" s="1832">
        <f>'Cap Outlay Deprec 26'!K10</f>
        <v>170099</v>
      </c>
      <c r="C2052" s="2" t="s">
        <v>569</v>
      </c>
      <c r="D2052" s="2" t="str">
        <f t="shared" si="31"/>
        <v>Error?</v>
      </c>
    </row>
    <row r="2053" spans="1:4" x14ac:dyDescent="0.2">
      <c r="A2053" s="5">
        <v>1992</v>
      </c>
      <c r="B2053" s="1832">
        <f>'Cap Outlay Deprec 26'!K12</f>
        <v>252109</v>
      </c>
      <c r="C2053" s="2" t="s">
        <v>569</v>
      </c>
      <c r="D2053" s="2" t="str">
        <f t="shared" si="31"/>
        <v>Error?</v>
      </c>
    </row>
    <row r="2054" spans="1:4" x14ac:dyDescent="0.2">
      <c r="A2054" s="5">
        <v>1993</v>
      </c>
      <c r="B2054" s="1832">
        <f>'Cap Outlay Deprec 26'!K13</f>
        <v>247256</v>
      </c>
      <c r="C2054" s="2" t="s">
        <v>569</v>
      </c>
      <c r="D2054" s="2" t="str">
        <f t="shared" si="31"/>
        <v>Error?</v>
      </c>
    </row>
    <row r="2055" spans="1:4" x14ac:dyDescent="0.2">
      <c r="A2055" s="5">
        <v>1994</v>
      </c>
      <c r="B2055" s="1832">
        <f>'Cap Outlay Deprec 26'!K16</f>
        <v>6917363</v>
      </c>
      <c r="C2055" s="2" t="s">
        <v>569</v>
      </c>
      <c r="D2055" s="2" t="str">
        <f t="shared" si="31"/>
        <v>Error?</v>
      </c>
    </row>
    <row r="2056" spans="1:4" x14ac:dyDescent="0.2">
      <c r="A2056" s="5">
        <v>1995</v>
      </c>
      <c r="B2056" s="1832">
        <f>'Cap Outlay Deprec 26'!L5</f>
        <v>398401</v>
      </c>
      <c r="C2056" s="2" t="s">
        <v>569</v>
      </c>
      <c r="D2056" s="2" t="str">
        <f t="shared" si="31"/>
        <v>Error?</v>
      </c>
    </row>
    <row r="2057" spans="1:4" x14ac:dyDescent="0.2">
      <c r="A2057" s="5">
        <v>1996</v>
      </c>
      <c r="B2057" s="1832">
        <f>'Cap Outlay Deprec 26'!L8</f>
        <v>8107473</v>
      </c>
      <c r="C2057" s="2" t="s">
        <v>569</v>
      </c>
      <c r="D2057" s="2" t="str">
        <f t="shared" si="31"/>
        <v>Error?</v>
      </c>
    </row>
    <row r="2058" spans="1:4" x14ac:dyDescent="0.2">
      <c r="A2058" s="5">
        <v>1997</v>
      </c>
      <c r="B2058" s="1832">
        <f>'Cap Outlay Deprec 26'!L10</f>
        <v>61749</v>
      </c>
      <c r="C2058" s="2" t="s">
        <v>569</v>
      </c>
      <c r="D2058" s="2" t="str">
        <f t="shared" si="31"/>
        <v>Error?</v>
      </c>
    </row>
    <row r="2059" spans="1:4" x14ac:dyDescent="0.2">
      <c r="A2059" s="5">
        <v>1998</v>
      </c>
      <c r="B2059" s="1832">
        <f>'Cap Outlay Deprec 26'!L12</f>
        <v>229947</v>
      </c>
      <c r="C2059" s="2" t="s">
        <v>569</v>
      </c>
      <c r="D2059" s="2" t="str">
        <f t="shared" si="31"/>
        <v>Error?</v>
      </c>
    </row>
    <row r="2060" spans="1:4" x14ac:dyDescent="0.2">
      <c r="A2060" s="5">
        <v>1999</v>
      </c>
      <c r="B2060" s="1832">
        <f>'Cap Outlay Deprec 26'!L13</f>
        <v>48719</v>
      </c>
      <c r="C2060" s="2" t="s">
        <v>569</v>
      </c>
      <c r="D2060" s="2" t="str">
        <f t="shared" si="31"/>
        <v>Error?</v>
      </c>
    </row>
    <row r="2061" spans="1:4" x14ac:dyDescent="0.2">
      <c r="A2061" s="5">
        <v>2000</v>
      </c>
      <c r="B2061" s="1832">
        <f>'Cap Outlay Deprec 26'!L16</f>
        <v>8847368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43537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140189</v>
      </c>
      <c r="C2088" s="2" t="s">
        <v>569</v>
      </c>
      <c r="D2088" s="2" t="str">
        <f t="shared" si="31"/>
        <v>Error?</v>
      </c>
    </row>
    <row r="2089" spans="1:4" x14ac:dyDescent="0.2">
      <c r="A2089" s="5">
        <v>2028</v>
      </c>
      <c r="B2089" s="1832">
        <f>'Expenditures 15-22'!K92</f>
        <v>90557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32172</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78786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6258124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1010427</v>
      </c>
      <c r="C2553" s="2" t="s">
        <v>569</v>
      </c>
      <c r="D2553" s="2" t="str">
        <f t="shared" si="38"/>
        <v>Error?</v>
      </c>
    </row>
    <row r="2554" spans="1:4" x14ac:dyDescent="0.2">
      <c r="A2554" s="5">
        <v>2493</v>
      </c>
      <c r="B2554" s="1832">
        <f>'Acct Summary 7-8'!C7</f>
        <v>342665</v>
      </c>
      <c r="C2554" s="2" t="s">
        <v>569</v>
      </c>
      <c r="D2554" s="2" t="str">
        <f t="shared" si="38"/>
        <v>Error?</v>
      </c>
    </row>
    <row r="2555" spans="1:4" x14ac:dyDescent="0.2">
      <c r="A2555" s="5">
        <v>2494</v>
      </c>
      <c r="B2555" s="1832">
        <f>'Acct Summary 7-8'!C8</f>
        <v>7611216</v>
      </c>
      <c r="C2555" s="2" t="s">
        <v>569</v>
      </c>
      <c r="D2555" s="2" t="str">
        <f t="shared" si="38"/>
        <v>Error?</v>
      </c>
    </row>
    <row r="2556" spans="1:4" x14ac:dyDescent="0.2">
      <c r="A2556" s="5">
        <v>2495</v>
      </c>
      <c r="B2556" s="1832">
        <f>'Acct Summary 7-8'!C12</f>
        <v>5254376</v>
      </c>
      <c r="C2556" s="2" t="s">
        <v>569</v>
      </c>
      <c r="D2556" s="2" t="str">
        <f t="shared" si="38"/>
        <v>Error?</v>
      </c>
    </row>
    <row r="2557" spans="1:4" x14ac:dyDescent="0.2">
      <c r="A2557" s="5">
        <v>2496</v>
      </c>
      <c r="B2557" s="1832">
        <f>'Acct Summary 7-8'!C13</f>
        <v>2045366</v>
      </c>
      <c r="C2557" s="2" t="s">
        <v>569</v>
      </c>
      <c r="D2557" s="2" t="str">
        <f t="shared" si="38"/>
        <v>Error?</v>
      </c>
    </row>
    <row r="2558" spans="1:4" x14ac:dyDescent="0.2">
      <c r="A2558" s="5">
        <v>2497</v>
      </c>
      <c r="B2558" s="1832">
        <f>'Acct Summary 7-8'!C14</f>
        <v>1113</v>
      </c>
      <c r="C2558" s="2" t="s">
        <v>569</v>
      </c>
      <c r="D2558" s="2" t="str">
        <f t="shared" si="38"/>
        <v>Error?</v>
      </c>
    </row>
    <row r="2559" spans="1:4" x14ac:dyDescent="0.2">
      <c r="A2559" s="5">
        <v>2498</v>
      </c>
      <c r="B2559" s="1832">
        <f>'Acct Summary 7-8'!C15</f>
        <v>230746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7531601</v>
      </c>
      <c r="C2561" s="2" t="s">
        <v>569</v>
      </c>
      <c r="D2561" s="2" t="str">
        <f t="shared" si="39"/>
        <v>Error?</v>
      </c>
    </row>
    <row r="2562" spans="1:4" x14ac:dyDescent="0.2">
      <c r="A2562" s="5">
        <v>2501</v>
      </c>
      <c r="B2562" s="1832">
        <f>'Acct Summary 7-8'!C20</f>
        <v>79615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821487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871487</v>
      </c>
      <c r="C2568" s="2" t="s">
        <v>569</v>
      </c>
      <c r="D2568" s="2" t="str">
        <f t="shared" si="39"/>
        <v>Error?</v>
      </c>
    </row>
    <row r="2569" spans="1:4" x14ac:dyDescent="0.2">
      <c r="A2569" s="5">
        <v>2508</v>
      </c>
      <c r="B2569" s="1832">
        <f>'Acct Summary 7-8'!D13</f>
        <v>823110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823110</v>
      </c>
      <c r="C2573" s="2" t="s">
        <v>569</v>
      </c>
      <c r="D2573" s="2" t="str">
        <f t="shared" si="39"/>
        <v>Error?</v>
      </c>
    </row>
    <row r="2574" spans="1:4" x14ac:dyDescent="0.2">
      <c r="A2574" s="5">
        <v>2513</v>
      </c>
      <c r="B2574" s="1832">
        <f>'Acct Summary 7-8'!D20</f>
        <v>48377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321196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360221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681417</v>
      </c>
      <c r="C2595" s="2" t="s">
        <v>569</v>
      </c>
      <c r="D2595" s="2" t="str">
        <f t="shared" si="39"/>
        <v>Error?</v>
      </c>
    </row>
    <row r="2596" spans="1:4" x14ac:dyDescent="0.2">
      <c r="A2596" s="5">
        <v>2535</v>
      </c>
      <c r="B2596" s="1832">
        <f>'Acct Summary 7-8'!F13</f>
        <v>602964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2376</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605340</v>
      </c>
      <c r="C2600" s="2" t="s">
        <v>569</v>
      </c>
      <c r="D2600" s="2" t="str">
        <f t="shared" si="39"/>
        <v>Error?</v>
      </c>
    </row>
    <row r="2601" spans="1:4" x14ac:dyDescent="0.2">
      <c r="A2601" s="5">
        <v>2540</v>
      </c>
      <c r="B2601" s="1832">
        <f>'Acct Summary 7-8'!F20</f>
        <v>76077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288610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288610</v>
      </c>
      <c r="C2606" s="2" t="s">
        <v>569</v>
      </c>
      <c r="D2606" s="2" t="str">
        <f t="shared" si="39"/>
        <v>Error?</v>
      </c>
    </row>
    <row r="2607" spans="1:4" x14ac:dyDescent="0.2">
      <c r="A2607" s="5">
        <v>2546</v>
      </c>
      <c r="B2607" s="1832">
        <f>'Acct Summary 7-8'!G12</f>
        <v>103158</v>
      </c>
      <c r="C2607" s="2" t="s">
        <v>569</v>
      </c>
      <c r="D2607" s="2" t="str">
        <f t="shared" si="39"/>
        <v>Error?</v>
      </c>
    </row>
    <row r="2608" spans="1:4" x14ac:dyDescent="0.2">
      <c r="A2608" s="5">
        <v>2547</v>
      </c>
      <c r="B2608" s="1832">
        <f>'Acct Summary 7-8'!G13</f>
        <v>152555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255713</v>
      </c>
      <c r="C2612" s="2" t="s">
        <v>569</v>
      </c>
      <c r="D2612" s="2" t="str">
        <f t="shared" si="39"/>
        <v>Error?</v>
      </c>
    </row>
    <row r="2613" spans="1:4" x14ac:dyDescent="0.2">
      <c r="A2613" s="5">
        <v>2552</v>
      </c>
      <c r="B2613" s="1832">
        <f>'Acct Summary 7-8'!G20</f>
        <v>32897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871407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871407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864975</v>
      </c>
      <c r="C2634" s="2" t="s">
        <v>569</v>
      </c>
      <c r="D2634" s="2" t="str">
        <f t="shared" si="40"/>
        <v>Error?</v>
      </c>
    </row>
    <row r="2635" spans="1:4" x14ac:dyDescent="0.2">
      <c r="A2635" s="5">
        <v>2574</v>
      </c>
      <c r="B2635" s="1832">
        <f>'Acct Summary 7-8'!E17</f>
        <v>864975</v>
      </c>
      <c r="C2635" s="2" t="s">
        <v>569</v>
      </c>
      <c r="D2635" s="2" t="str">
        <f t="shared" si="40"/>
        <v>Error?</v>
      </c>
    </row>
    <row r="2636" spans="1:4" x14ac:dyDescent="0.2">
      <c r="A2636" s="5">
        <v>2575</v>
      </c>
      <c r="B2636" s="1832">
        <f>'Acct Summary 7-8'!E20</f>
        <v>6432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56250</v>
      </c>
      <c r="D2718" s="2" t="str">
        <f t="shared" si="41"/>
        <v>Error?</v>
      </c>
    </row>
    <row r="2719" spans="1:4" x14ac:dyDescent="0.2">
      <c r="A2719" s="5">
        <v>2658</v>
      </c>
      <c r="B2719" s="1832">
        <f>'Expenditures 15-22'!D51</f>
        <v>32943</v>
      </c>
      <c r="D2719" s="2" t="str">
        <f t="shared" si="41"/>
        <v>Error?</v>
      </c>
    </row>
    <row r="2720" spans="1:4" x14ac:dyDescent="0.2">
      <c r="A2720" s="5">
        <v>2659</v>
      </c>
      <c r="B2720" s="1832">
        <f>'Expenditures 15-22'!E51</f>
        <v>937</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299</v>
      </c>
      <c r="D2723" s="2" t="str">
        <f t="shared" si="41"/>
        <v>Error?</v>
      </c>
    </row>
    <row r="2724" spans="1:4" x14ac:dyDescent="0.2">
      <c r="A2724" s="5">
        <v>2663</v>
      </c>
      <c r="B2724" s="1832">
        <f>'Expenditures 15-22'!K51</f>
        <v>90429</v>
      </c>
      <c r="C2724" s="2" t="s">
        <v>569</v>
      </c>
      <c r="D2724" s="2" t="str">
        <f t="shared" si="41"/>
        <v>Error?</v>
      </c>
    </row>
    <row r="2725" spans="1:4" x14ac:dyDescent="0.2">
      <c r="A2725" s="5">
        <v>2664</v>
      </c>
      <c r="B2725" s="1832">
        <f>'Expenditures 15-22'!D247</f>
        <v>906</v>
      </c>
      <c r="D2725" s="2" t="str">
        <f t="shared" si="41"/>
        <v>Error?</v>
      </c>
    </row>
    <row r="2726" spans="1:4" x14ac:dyDescent="0.2">
      <c r="A2726" s="5">
        <v>2665</v>
      </c>
      <c r="B2726" s="1832">
        <f>'Expenditures 15-22'!K247</f>
        <v>906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96652</v>
      </c>
      <c r="C2789" s="2" t="s">
        <v>569</v>
      </c>
      <c r="D2789" s="2" t="str">
        <f t="shared" si="42"/>
        <v>Error?</v>
      </c>
    </row>
    <row r="2790" spans="1:4" x14ac:dyDescent="0.2">
      <c r="A2790" s="5">
        <v>2729</v>
      </c>
      <c r="B2790" s="1832">
        <f>'Expenditures 15-22'!E102</f>
        <v>96652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2376</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2376</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247300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1818706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137329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1818706</v>
      </c>
      <c r="D2912" s="2" t="str">
        <f t="shared" si="44"/>
        <v>Error?</v>
      </c>
    </row>
    <row r="2913" spans="1:4" x14ac:dyDescent="0.2">
      <c r="A2913" s="5">
        <v>2852</v>
      </c>
      <c r="B2913" s="1832">
        <f>'Assets-Liab 5-6'!I41</f>
        <v>1818706</v>
      </c>
      <c r="C2913" s="2" t="s">
        <v>569</v>
      </c>
      <c r="D2913" s="2" t="str">
        <f t="shared" si="44"/>
        <v>Error?</v>
      </c>
    </row>
    <row r="2914" spans="1:4" x14ac:dyDescent="0.2">
      <c r="A2914" s="5">
        <v>2853</v>
      </c>
      <c r="B2914" s="1832">
        <f>'Assets-Liab 5-6'!L33</f>
        <v>137329</v>
      </c>
      <c r="D2914" s="2" t="str">
        <f t="shared" si="44"/>
        <v>Error?</v>
      </c>
    </row>
    <row r="2915" spans="1:4" x14ac:dyDescent="0.2">
      <c r="A2915" s="10">
        <v>2854</v>
      </c>
      <c r="B2915" s="1832"/>
      <c r="D2915" s="2" t="str">
        <f t="shared" si="44"/>
        <v>OK</v>
      </c>
    </row>
    <row r="2916" spans="1:4" x14ac:dyDescent="0.2">
      <c r="A2916" s="5">
        <v>2855</v>
      </c>
      <c r="B2916" s="1832">
        <f>'Assets-Liab 5-6'!L34</f>
        <v>137329</v>
      </c>
      <c r="C2916" s="2" t="s">
        <v>569</v>
      </c>
      <c r="D2916" s="2" t="str">
        <f t="shared" si="44"/>
        <v>Error?</v>
      </c>
    </row>
    <row r="2917" spans="1:4" x14ac:dyDescent="0.2">
      <c r="A2917" s="5">
        <v>2856</v>
      </c>
      <c r="B2917" s="1832">
        <f>'Assets-Liab 5-6'!L41</f>
        <v>137329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92652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4000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43537</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92652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43537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4000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2376</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2376</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42631</v>
      </c>
      <c r="D3055" s="2" t="str">
        <f t="shared" si="46"/>
        <v>Error?</v>
      </c>
    </row>
    <row r="3056" spans="1:4" x14ac:dyDescent="0.2">
      <c r="A3056" s="5">
        <v>2995</v>
      </c>
      <c r="B3056" s="1832">
        <f>'Expenditures 15-22'!D10</f>
        <v>61</v>
      </c>
      <c r="D3056" s="2" t="str">
        <f t="shared" si="46"/>
        <v>Error?</v>
      </c>
    </row>
    <row r="3057" spans="1:4" x14ac:dyDescent="0.2">
      <c r="A3057" s="5">
        <v>2996</v>
      </c>
      <c r="B3057" s="1832">
        <f>'Expenditures 15-22'!E10</f>
        <v>911</v>
      </c>
      <c r="D3057" s="2" t="str">
        <f t="shared" si="46"/>
        <v>Error?</v>
      </c>
    </row>
    <row r="3058" spans="1:4" x14ac:dyDescent="0.2">
      <c r="A3058" s="5">
        <v>2997</v>
      </c>
      <c r="B3058" s="1832">
        <f>'Expenditures 15-22'!F10</f>
        <v>11826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55429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5730</v>
      </c>
      <c r="D3064" s="2" t="str">
        <f t="shared" si="46"/>
        <v>Error?</v>
      </c>
    </row>
    <row r="3065" spans="1:4" x14ac:dyDescent="0.2">
      <c r="A3065" s="5">
        <v>3004</v>
      </c>
      <c r="B3065" s="1832">
        <f>'Expenditures 15-22'!K219</f>
        <v>5730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112310</v>
      </c>
      <c r="C3225" s="2" t="s">
        <v>569</v>
      </c>
      <c r="D3225" s="2" t="str">
        <f t="shared" si="49"/>
        <v>Error?</v>
      </c>
    </row>
    <row r="3226" spans="1:4" x14ac:dyDescent="0.2">
      <c r="A3226" s="5">
        <v>3165</v>
      </c>
      <c r="B3226" s="1832">
        <f>'Acct Summary 7-8'!I8</f>
        <v>112310</v>
      </c>
      <c r="C3226" s="2" t="s">
        <v>569</v>
      </c>
      <c r="D3226" s="2" t="str">
        <f t="shared" si="49"/>
        <v>Error?</v>
      </c>
    </row>
    <row r="3227" spans="1:4" x14ac:dyDescent="0.2">
      <c r="A3227" s="5">
        <v>3166</v>
      </c>
      <c r="B3227" s="1832">
        <f>'Acct Summary 7-8'!I20</f>
        <v>112310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33918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33918</v>
      </c>
      <c r="C3232" s="2" t="s">
        <v>569</v>
      </c>
      <c r="D3232" s="2" t="str">
        <f t="shared" si="49"/>
        <v>Error?</v>
      </c>
    </row>
    <row r="3233" spans="1:4" x14ac:dyDescent="0.2">
      <c r="A3233" s="5">
        <v>3172</v>
      </c>
      <c r="B3233" s="1832">
        <f>'Acct Summary 7-8'!C78</f>
        <v>113533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48377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30000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30000</v>
      </c>
      <c r="C3255" s="2" t="s">
        <v>569</v>
      </c>
      <c r="D3255" s="2" t="str">
        <f t="shared" si="49"/>
        <v>Error?</v>
      </c>
    </row>
    <row r="3256" spans="1:4" x14ac:dyDescent="0.2">
      <c r="A3256" s="5">
        <v>3195</v>
      </c>
      <c r="B3256" s="1832">
        <f>'Acct Summary 7-8'!F78</f>
        <v>106077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32897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6432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32172</v>
      </c>
      <c r="C3318" s="2" t="s">
        <v>569</v>
      </c>
      <c r="D3318" s="2" t="str">
        <f t="shared" si="50"/>
        <v>Error?</v>
      </c>
    </row>
    <row r="3319" spans="1:4" x14ac:dyDescent="0.2">
      <c r="A3319" s="5">
        <v>3258</v>
      </c>
      <c r="B3319" s="1832">
        <f>'Acct Summary 7-8'!I77</f>
        <v>-32172</v>
      </c>
      <c r="C3319" s="2" t="s">
        <v>569</v>
      </c>
      <c r="D3319" s="2" t="str">
        <f t="shared" si="50"/>
        <v>Error?</v>
      </c>
    </row>
    <row r="3320" spans="1:4" x14ac:dyDescent="0.2">
      <c r="A3320" s="5">
        <v>3259</v>
      </c>
      <c r="B3320" s="1832">
        <f>'Acct Summary 7-8'!I78</f>
        <v>80138</v>
      </c>
      <c r="C3320" s="2" t="s">
        <v>569</v>
      </c>
      <c r="D3320" s="2" t="str">
        <f t="shared" si="50"/>
        <v>Error?</v>
      </c>
    </row>
    <row r="3321" spans="1:4" x14ac:dyDescent="0.2">
      <c r="A3321" s="5">
        <v>3260</v>
      </c>
      <c r="B3321" s="1832">
        <f>'Acct Summary 7-8'!I79</f>
        <v>1738568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1818706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594230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50104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3294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10186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6167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663981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57903</v>
      </c>
      <c r="D3387" s="2" t="str">
        <f t="shared" si="51"/>
        <v>Error?</v>
      </c>
    </row>
    <row r="3388" spans="1:4" x14ac:dyDescent="0.2">
      <c r="A3388" s="5">
        <v>3327</v>
      </c>
      <c r="B3388" s="1832">
        <f>'Expenditures 15-22'!D217</f>
        <v>30062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57903</v>
      </c>
      <c r="C3390" s="2" t="s">
        <v>569</v>
      </c>
      <c r="D3390" s="2" t="str">
        <f t="shared" si="51"/>
        <v>Error?</v>
      </c>
    </row>
    <row r="3391" spans="1:4" x14ac:dyDescent="0.2">
      <c r="A3391" s="5">
        <v>3330</v>
      </c>
      <c r="B3391" s="1832">
        <f>'Expenditures 15-22'!K217</f>
        <v>30062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213181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772632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125541</v>
      </c>
      <c r="D3417" s="2" t="str">
        <f t="shared" si="52"/>
        <v>Error?</v>
      </c>
    </row>
    <row r="3418" spans="1:4" x14ac:dyDescent="0.2">
      <c r="A3418" s="10">
        <v>3357</v>
      </c>
      <c r="B3418" s="1832"/>
      <c r="D3418" s="2" t="str">
        <f t="shared" si="52"/>
        <v>OK</v>
      </c>
    </row>
    <row r="3419" spans="1:4" x14ac:dyDescent="0.2">
      <c r="A3419" s="5">
        <v>3358</v>
      </c>
      <c r="B3419" s="1832">
        <f>'Assets-Liab 5-6'!F4</f>
        <v>1040818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139234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5731</v>
      </c>
      <c r="D3425" s="2" t="str">
        <f t="shared" si="52"/>
        <v>Error?</v>
      </c>
    </row>
    <row r="3426" spans="1:4" x14ac:dyDescent="0.2">
      <c r="A3426" s="10">
        <v>3365</v>
      </c>
      <c r="B3426" s="1832"/>
      <c r="D3426" s="2" t="str">
        <f t="shared" si="52"/>
        <v>OK</v>
      </c>
    </row>
    <row r="3427" spans="1:4" x14ac:dyDescent="0.2">
      <c r="A3427" s="5">
        <v>3366</v>
      </c>
      <c r="B3427" s="1832">
        <f>'Assets-Liab 5-6'!I4</f>
        <v>1571406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137329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175017</v>
      </c>
      <c r="C3446" s="2" t="s">
        <v>569</v>
      </c>
      <c r="D3446" s="2" t="str">
        <f t="shared" si="52"/>
        <v>Error?</v>
      </c>
    </row>
    <row r="3447" spans="1:4" x14ac:dyDescent="0.2">
      <c r="A3447" s="5">
        <v>3386</v>
      </c>
      <c r="B3447" s="1832">
        <f>'Tax Sched 23'!D16</f>
        <v>175017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177001</v>
      </c>
      <c r="C3449" s="2" t="s">
        <v>569</v>
      </c>
      <c r="D3449" s="2" t="str">
        <f t="shared" si="52"/>
        <v>Error?</v>
      </c>
    </row>
    <row r="3450" spans="1:4" x14ac:dyDescent="0.2">
      <c r="A3450" s="5">
        <v>3389</v>
      </c>
      <c r="B3450" s="1832">
        <f>'Tax Sched 23'!E16</f>
        <v>177001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1746</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30000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209227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209227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209227</v>
      </c>
      <c r="D3567" s="2" t="str">
        <f t="shared" si="54"/>
        <v>Error?</v>
      </c>
    </row>
    <row r="3568" spans="1:4" x14ac:dyDescent="0.2">
      <c r="A3568" s="5">
        <v>3507</v>
      </c>
      <c r="B3568" s="1832">
        <f>'Assets-Liab 5-6'!K41</f>
        <v>209227</v>
      </c>
      <c r="C3568" s="2" t="s">
        <v>569</v>
      </c>
      <c r="D3568" s="2" t="str">
        <f t="shared" si="54"/>
        <v>Error?</v>
      </c>
    </row>
    <row r="3569" spans="1:4" x14ac:dyDescent="0.2">
      <c r="A3569" s="5">
        <v>3508</v>
      </c>
      <c r="B3569" s="1832">
        <f>'Acct Summary 7-8'!K4</f>
        <v>82825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82825</v>
      </c>
      <c r="C3571" s="2" t="s">
        <v>569</v>
      </c>
      <c r="D3571" s="2" t="str">
        <f t="shared" si="54"/>
        <v>Error?</v>
      </c>
    </row>
    <row r="3572" spans="1:4" x14ac:dyDescent="0.2">
      <c r="A3572" s="5">
        <v>3511</v>
      </c>
      <c r="B3572" s="1832">
        <f>'Acct Summary 7-8'!K13</f>
        <v>155060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155060</v>
      </c>
      <c r="C3575" s="2" t="s">
        <v>569</v>
      </c>
      <c r="D3575" s="2" t="str">
        <f t="shared" si="54"/>
        <v>Error?</v>
      </c>
    </row>
    <row r="3576" spans="1:4" x14ac:dyDescent="0.2">
      <c r="A3576" s="5">
        <v>3515</v>
      </c>
      <c r="B3576" s="1832">
        <f>'Acct Summary 7-8'!K20</f>
        <v>-72235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-72235</v>
      </c>
      <c r="C3588" s="2" t="s">
        <v>569</v>
      </c>
      <c r="D3588" s="2" t="str">
        <f t="shared" si="55"/>
        <v>Error?</v>
      </c>
    </row>
    <row r="3589" spans="1:4" x14ac:dyDescent="0.2">
      <c r="A3589" s="5">
        <v>3528</v>
      </c>
      <c r="B3589" s="1832">
        <f>'Acct Summary 7-8'!K79</f>
        <v>281462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209227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155060</v>
      </c>
      <c r="D3646" s="2" t="str">
        <f t="shared" si="55"/>
        <v>Error?</v>
      </c>
    </row>
    <row r="3647" spans="1:4" x14ac:dyDescent="0.2">
      <c r="A3647" s="5">
        <v>3586</v>
      </c>
      <c r="B3647" s="1832">
        <f>'Expenditures 15-22'!G350</f>
        <v>155060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155060</v>
      </c>
      <c r="C3649" s="2" t="s">
        <v>569</v>
      </c>
      <c r="D3649" s="2" t="str">
        <f t="shared" si="56"/>
        <v>Error?</v>
      </c>
    </row>
    <row r="3650" spans="1:4" x14ac:dyDescent="0.2">
      <c r="A3650" s="5">
        <v>3589</v>
      </c>
      <c r="B3650" s="1832">
        <f>'Expenditures 15-22'!G367</f>
        <v>155060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155060</v>
      </c>
      <c r="C3669" s="2" t="s">
        <v>569</v>
      </c>
      <c r="D3669" s="2" t="str">
        <f t="shared" si="56"/>
        <v>Error?</v>
      </c>
    </row>
    <row r="3670" spans="1:4" x14ac:dyDescent="0.2">
      <c r="A3670" s="5">
        <v>3609</v>
      </c>
      <c r="B3670" s="1832">
        <f>'Expenditures 15-22'!K350</f>
        <v>155060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155060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155060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-72235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80005</v>
      </c>
      <c r="C3725" s="2" t="s">
        <v>569</v>
      </c>
      <c r="D3725" s="2" t="str">
        <f t="shared" si="57"/>
        <v>Error?</v>
      </c>
    </row>
    <row r="3726" spans="1:4" x14ac:dyDescent="0.2">
      <c r="A3726" s="5">
        <v>3665</v>
      </c>
      <c r="B3726" s="1832">
        <f>'Tax Sched 23'!D13</f>
        <v>80005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85014</v>
      </c>
      <c r="C3728" s="2" t="s">
        <v>569</v>
      </c>
      <c r="D3728" s="2" t="str">
        <f t="shared" si="57"/>
        <v>Error?</v>
      </c>
    </row>
    <row r="3729" spans="1:4" x14ac:dyDescent="0.2">
      <c r="A3729" s="5">
        <v>3668</v>
      </c>
      <c r="B3729" s="1832">
        <f>'Tax Sched 23'!E13</f>
        <v>85014</v>
      </c>
      <c r="D3729" s="2" t="str">
        <f t="shared" si="57"/>
        <v>Error?</v>
      </c>
    </row>
    <row r="3730" spans="1:4" x14ac:dyDescent="0.2">
      <c r="A3730" s="5">
        <v>3669</v>
      </c>
      <c r="B3730" s="1832">
        <f>'ICR Computation 30'!E10</f>
        <v>115080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3886062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11497278</v>
      </c>
      <c r="C4122" s="2" t="s">
        <v>569</v>
      </c>
      <c r="D4122" s="2" t="str">
        <f t="shared" si="63"/>
        <v>Error?</v>
      </c>
    </row>
    <row r="4123" spans="1:4" x14ac:dyDescent="0.2">
      <c r="A4123" s="5">
        <v>4062</v>
      </c>
      <c r="B4123" s="1832">
        <f>'Acct Summary 7-8'!D10</f>
        <v>871487</v>
      </c>
      <c r="C4123" s="2" t="s">
        <v>569</v>
      </c>
      <c r="D4123" s="2" t="str">
        <f t="shared" si="63"/>
        <v>Error?</v>
      </c>
    </row>
    <row r="4124" spans="1:4" x14ac:dyDescent="0.2">
      <c r="A4124" s="5">
        <v>4063</v>
      </c>
      <c r="B4124" s="1832">
        <f>'Acct Summary 7-8'!E10</f>
        <v>871407</v>
      </c>
      <c r="C4124" s="2" t="s">
        <v>569</v>
      </c>
      <c r="D4124" s="2" t="str">
        <f t="shared" si="63"/>
        <v>Error?</v>
      </c>
    </row>
    <row r="4125" spans="1:4" x14ac:dyDescent="0.2">
      <c r="A4125" s="5">
        <v>4064</v>
      </c>
      <c r="B4125" s="1832">
        <f>'Acct Summary 7-8'!F10</f>
        <v>681417</v>
      </c>
      <c r="C4125" s="2" t="s">
        <v>569</v>
      </c>
      <c r="D4125" s="2" t="str">
        <f t="shared" si="63"/>
        <v>Error?</v>
      </c>
    </row>
    <row r="4126" spans="1:4" x14ac:dyDescent="0.2">
      <c r="A4126" s="5">
        <v>4065</v>
      </c>
      <c r="B4126" s="1832">
        <f>'Acct Summary 7-8'!G10</f>
        <v>288610</v>
      </c>
      <c r="C4126" s="2" t="s">
        <v>569</v>
      </c>
      <c r="D4126" s="2" t="str">
        <f t="shared" si="63"/>
        <v>Error?</v>
      </c>
    </row>
    <row r="4127" spans="1:4" x14ac:dyDescent="0.2">
      <c r="A4127" s="5">
        <v>4066</v>
      </c>
      <c r="B4127" s="1832">
        <f>'Acct Summary 7-8'!H10</f>
        <v>2</v>
      </c>
      <c r="C4127" s="2" t="s">
        <v>569</v>
      </c>
      <c r="D4127" s="2" t="str">
        <f t="shared" si="63"/>
        <v>Error?</v>
      </c>
    </row>
    <row r="4128" spans="1:4" x14ac:dyDescent="0.2">
      <c r="A4128" s="5">
        <v>4067</v>
      </c>
      <c r="B4128" s="1832">
        <f>'Acct Summary 7-8'!I10</f>
        <v>112310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82825</v>
      </c>
      <c r="C4130" s="2" t="s">
        <v>569</v>
      </c>
      <c r="D4130" s="2" t="str">
        <f t="shared" si="63"/>
        <v>Error?</v>
      </c>
    </row>
    <row r="4131" spans="1:4" x14ac:dyDescent="0.2">
      <c r="A4131" s="5">
        <v>4070</v>
      </c>
      <c r="B4131" s="1832">
        <f>'Acct Summary 7-8'!C18</f>
        <v>3886062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11417663</v>
      </c>
      <c r="C4136" s="2" t="s">
        <v>569</v>
      </c>
      <c r="D4136" s="2" t="str">
        <f t="shared" si="63"/>
        <v>Error?</v>
      </c>
    </row>
    <row r="4137" spans="1:4" x14ac:dyDescent="0.2">
      <c r="A4137" s="5">
        <v>4076</v>
      </c>
      <c r="B4137" s="1832">
        <f>'Acct Summary 7-8'!D19</f>
        <v>823110</v>
      </c>
      <c r="C4137" s="2" t="s">
        <v>569</v>
      </c>
      <c r="D4137" s="2" t="str">
        <f t="shared" si="63"/>
        <v>Error?</v>
      </c>
    </row>
    <row r="4138" spans="1:4" x14ac:dyDescent="0.2">
      <c r="A4138" s="5">
        <v>4077</v>
      </c>
      <c r="B4138" s="1832">
        <f>'Acct Summary 7-8'!E19</f>
        <v>864975</v>
      </c>
      <c r="C4138" s="2" t="s">
        <v>569</v>
      </c>
      <c r="D4138" s="2" t="str">
        <f t="shared" si="63"/>
        <v>Error?</v>
      </c>
    </row>
    <row r="4139" spans="1:4" x14ac:dyDescent="0.2">
      <c r="A4139" s="5">
        <v>4078</v>
      </c>
      <c r="B4139" s="1832">
        <f>'Acct Summary 7-8'!F19</f>
        <v>605340</v>
      </c>
      <c r="C4139" s="2" t="s">
        <v>569</v>
      </c>
      <c r="D4139" s="2" t="str">
        <f t="shared" si="63"/>
        <v>Error?</v>
      </c>
    </row>
    <row r="4140" spans="1:4" x14ac:dyDescent="0.2">
      <c r="A4140" s="5">
        <v>4079</v>
      </c>
      <c r="B4140" s="1832">
        <f>'Acct Summary 7-8'!G19</f>
        <v>255713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155060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3275000</v>
      </c>
      <c r="C4171" s="2" t="s">
        <v>569</v>
      </c>
      <c r="D4171" s="2" t="str">
        <f t="shared" si="64"/>
        <v>Error?</v>
      </c>
    </row>
    <row r="4172" spans="1:4" x14ac:dyDescent="0.2">
      <c r="A4172" s="5">
        <v>4111</v>
      </c>
      <c r="B4172" s="1832">
        <f>'Short-Term Long-Term Debt 24'!J49</f>
        <v>3149459</v>
      </c>
      <c r="C4172" s="2" t="s">
        <v>569</v>
      </c>
      <c r="D4172" s="2" t="str">
        <f t="shared" si="64"/>
        <v>Error?</v>
      </c>
    </row>
    <row r="4173" spans="1:4" x14ac:dyDescent="0.2">
      <c r="A4173" s="5">
        <v>4112</v>
      </c>
      <c r="B4173" s="1832">
        <f>'Short-Term Long-Term Debt 24'!H49</f>
        <v>745000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2760.4</v>
      </c>
      <c r="C4265" s="2" t="s">
        <v>569</v>
      </c>
      <c r="D4265" s="2" t="str">
        <f t="shared" si="65"/>
        <v>Error?</v>
      </c>
      <c r="E4265" s="125"/>
    </row>
    <row r="4266" spans="1:5" x14ac:dyDescent="0.2">
      <c r="A4266" s="12">
        <v>4205</v>
      </c>
      <c r="B4266" s="1832">
        <f>('FP Info 3'!F10)*100000</f>
        <v>489.96999999999997</v>
      </c>
      <c r="C4266" s="2" t="s">
        <v>569</v>
      </c>
      <c r="D4266" s="2" t="str">
        <f t="shared" si="65"/>
        <v>Error?</v>
      </c>
      <c r="E4266" s="125"/>
    </row>
    <row r="4267" spans="1:5" x14ac:dyDescent="0.2">
      <c r="A4267" s="12">
        <v>4206</v>
      </c>
      <c r="B4267" s="1832">
        <f>('FP Info 3'!H10)*100000</f>
        <v>195.53</v>
      </c>
      <c r="C4267" s="2" t="s">
        <v>569</v>
      </c>
      <c r="D4267" s="2" t="str">
        <f t="shared" si="65"/>
        <v>Error?</v>
      </c>
      <c r="E4267" s="125"/>
    </row>
    <row r="4268" spans="1:5" x14ac:dyDescent="0.2">
      <c r="A4268" s="12">
        <v>4207</v>
      </c>
      <c r="B4268" s="1832">
        <f>('FP Info 3'!J10)*100000</f>
        <v>3445.9999999999995</v>
      </c>
      <c r="C4268" s="2" t="s">
        <v>569</v>
      </c>
      <c r="D4268" s="2" t="str">
        <f t="shared" si="65"/>
        <v>Error?</v>
      </c>
    </row>
    <row r="4269" spans="1:5" x14ac:dyDescent="0.2">
      <c r="A4269" s="12">
        <v>4208</v>
      </c>
      <c r="B4269" s="1832">
        <f>'FP Info 3'!J16</f>
        <v>8866869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750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16600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19495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21743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48.89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173888470</v>
      </c>
      <c r="D4995" s="2" t="str">
        <f t="shared" si="77"/>
        <v>Error?</v>
      </c>
    </row>
    <row r="4996" spans="1:4" x14ac:dyDescent="0.2">
      <c r="A4996" s="12">
        <v>4935</v>
      </c>
      <c r="B4996" s="1832">
        <f>'FP Info 3'!H31</f>
        <v>23996608.860000003</v>
      </c>
      <c r="D4996" s="2" t="str">
        <f t="shared" si="77"/>
        <v>Error?</v>
      </c>
    </row>
    <row r="4997" spans="1:4" x14ac:dyDescent="0.2">
      <c r="A4997" s="12">
        <v>4936</v>
      </c>
      <c r="B4997" s="1832">
        <f>'FP Info 3'!H37</f>
        <v>3275000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80005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4600031</v>
      </c>
      <c r="D5061" s="2" t="str">
        <f t="shared" si="78"/>
        <v>Error?</v>
      </c>
    </row>
    <row r="5062" spans="1:4" x14ac:dyDescent="0.2">
      <c r="A5062" s="10">
        <v>5001</v>
      </c>
      <c r="B5062" s="1832"/>
      <c r="D5062" s="2" t="str">
        <f t="shared" si="78"/>
        <v>OK</v>
      </c>
    </row>
    <row r="5063" spans="1:4" x14ac:dyDescent="0.2">
      <c r="A5063" s="5">
        <v>5002</v>
      </c>
      <c r="B5063" s="1832">
        <f>'Revenues 9-14'!C7</f>
        <v>65562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4745598</v>
      </c>
      <c r="C5066" s="2" t="s">
        <v>569</v>
      </c>
      <c r="D5066" s="2" t="str">
        <f t="shared" si="78"/>
        <v>Error?</v>
      </c>
    </row>
    <row r="5067" spans="1:4" x14ac:dyDescent="0.2">
      <c r="A5067" s="5">
        <v>5006</v>
      </c>
      <c r="B5067" s="1832">
        <f>'Revenues 9-14'!C14</f>
        <v>3394</v>
      </c>
      <c r="D5067" s="2" t="str">
        <f t="shared" si="78"/>
        <v>Error?</v>
      </c>
    </row>
    <row r="5068" spans="1:4" x14ac:dyDescent="0.2">
      <c r="A5068" s="5">
        <v>5007</v>
      </c>
      <c r="B5068" s="1832">
        <f>'Revenues 9-14'!C15</f>
        <v>254</v>
      </c>
      <c r="D5068" s="2" t="str">
        <f t="shared" si="78"/>
        <v>Error?</v>
      </c>
    </row>
    <row r="5069" spans="1:4" x14ac:dyDescent="0.2">
      <c r="A5069" s="5">
        <v>5008</v>
      </c>
      <c r="B5069" s="1832">
        <f>'Revenues 9-14'!C16</f>
        <v>1165188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1168836</v>
      </c>
      <c r="C5071" s="2" t="s">
        <v>569</v>
      </c>
      <c r="D5071" s="2" t="str">
        <f t="shared" si="78"/>
        <v>Error?</v>
      </c>
    </row>
    <row r="5072" spans="1:4" x14ac:dyDescent="0.2">
      <c r="A5072" s="5">
        <v>5011</v>
      </c>
      <c r="B5072" s="1832">
        <f>'Revenues 9-14'!C20</f>
        <v>5992</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5992</v>
      </c>
      <c r="C5087" s="2" t="s">
        <v>569</v>
      </c>
      <c r="D5087" s="2" t="str">
        <f t="shared" si="78"/>
        <v>Error?</v>
      </c>
    </row>
    <row r="5088" spans="1:4" x14ac:dyDescent="0.2">
      <c r="A5088" s="5">
        <v>5027</v>
      </c>
      <c r="B5088" s="1832">
        <f>'Revenues 9-14'!C65</f>
        <v>117365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117365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9839</v>
      </c>
      <c r="D5094" s="2" t="str">
        <f t="shared" si="78"/>
        <v>Error?</v>
      </c>
    </row>
    <row r="5095" spans="1:4" x14ac:dyDescent="0.2">
      <c r="A5095" s="5">
        <v>5034</v>
      </c>
      <c r="B5095" s="1832">
        <f>'Revenues 9-14'!C74</f>
        <v>3304</v>
      </c>
      <c r="D5095" s="2" t="str">
        <f t="shared" si="78"/>
        <v>Error?</v>
      </c>
    </row>
    <row r="5096" spans="1:4" x14ac:dyDescent="0.2">
      <c r="A5096" s="5">
        <v>5035</v>
      </c>
      <c r="B5096" s="1832">
        <f>'Revenues 9-14'!C75</f>
        <v>101759</v>
      </c>
      <c r="C5096" s="2" t="s">
        <v>569</v>
      </c>
      <c r="D5096" s="2" t="str">
        <f t="shared" si="78"/>
        <v>Error?</v>
      </c>
    </row>
    <row r="5097" spans="1:4" x14ac:dyDescent="0.2">
      <c r="A5097" s="5">
        <v>5036</v>
      </c>
      <c r="B5097" s="1832">
        <f>'Revenues 9-14'!C77</f>
        <v>14759</v>
      </c>
      <c r="D5097" s="2" t="str">
        <f t="shared" si="78"/>
        <v>Error?</v>
      </c>
    </row>
    <row r="5098" spans="1:4" x14ac:dyDescent="0.2">
      <c r="A5098" s="5">
        <v>5037</v>
      </c>
      <c r="B5098" s="1832">
        <f>'Revenues 9-14'!C78</f>
        <v>995</v>
      </c>
      <c r="D5098" s="2" t="str">
        <f t="shared" si="78"/>
        <v>Error?</v>
      </c>
    </row>
    <row r="5099" spans="1:4" x14ac:dyDescent="0.2">
      <c r="A5099" s="5">
        <v>5038</v>
      </c>
      <c r="B5099" s="1832">
        <f>'Revenues 9-14'!C79</f>
        <v>21029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20</v>
      </c>
      <c r="D5101" s="2" t="str">
        <f t="shared" si="78"/>
        <v>Error?</v>
      </c>
    </row>
    <row r="5102" spans="1:4" x14ac:dyDescent="0.2">
      <c r="A5102" s="5">
        <v>5041</v>
      </c>
      <c r="B5102" s="1832">
        <f>'Revenues 9-14'!C82</f>
        <v>36803</v>
      </c>
      <c r="C5102" s="2" t="s">
        <v>569</v>
      </c>
      <c r="D5102" s="2" t="str">
        <f t="shared" si="78"/>
        <v>Error?</v>
      </c>
    </row>
    <row r="5103" spans="1:4" x14ac:dyDescent="0.2">
      <c r="A5103" s="5">
        <v>5042</v>
      </c>
      <c r="B5103" s="1832">
        <f>'Revenues 9-14'!C84</f>
        <v>16042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1360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17402</v>
      </c>
      <c r="C5112" s="2" t="s">
        <v>569</v>
      </c>
      <c r="D5112" s="2" t="str">
        <f t="shared" si="78"/>
        <v>Error?</v>
      </c>
    </row>
    <row r="5113" spans="1:4" x14ac:dyDescent="0.2">
      <c r="A5113" s="5">
        <v>5052</v>
      </c>
      <c r="B5113" s="1832">
        <f>'Revenues 9-14'!C95</f>
        <v>85</v>
      </c>
      <c r="D5113" s="2" t="str">
        <f t="shared" si="78"/>
        <v>Error?</v>
      </c>
    </row>
    <row r="5114" spans="1:4" x14ac:dyDescent="0.2">
      <c r="A5114" s="5">
        <v>5053</v>
      </c>
      <c r="B5114" s="1832">
        <f>'Revenues 9-14'!C96</f>
        <v>308</v>
      </c>
      <c r="D5114" s="2" t="str">
        <f t="shared" si="78"/>
        <v>Error?</v>
      </c>
    </row>
    <row r="5115" spans="1:4" x14ac:dyDescent="0.2">
      <c r="A5115" s="5">
        <v>5054</v>
      </c>
      <c r="B5115" s="1832">
        <f>'Revenues 9-14'!C98</f>
        <v>6894</v>
      </c>
      <c r="D5115" s="2" t="str">
        <f t="shared" si="78"/>
        <v>Error?</v>
      </c>
    </row>
    <row r="5116" spans="1:4" x14ac:dyDescent="0.2">
      <c r="A5116" s="5">
        <v>5055</v>
      </c>
      <c r="B5116" s="1832">
        <f>'Revenues 9-14'!C99</f>
        <v>37073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15571</v>
      </c>
      <c r="D5119" s="2" t="str">
        <f t="shared" ref="D5119:D5182" si="79">IF(ISBLANK(B5119),"OK",IF(A5119-B5119=0,"OK","Error?"))</f>
        <v>Error?</v>
      </c>
    </row>
    <row r="5120" spans="1:4" x14ac:dyDescent="0.2">
      <c r="A5120" s="5">
        <v>5059</v>
      </c>
      <c r="B5120" s="1832">
        <f>'Revenues 9-14'!C108</f>
        <v>64369</v>
      </c>
      <c r="C5120" s="2" t="s">
        <v>569</v>
      </c>
      <c r="D5120" s="2" t="str">
        <f t="shared" si="79"/>
        <v>Error?</v>
      </c>
    </row>
    <row r="5121" spans="1:4" x14ac:dyDescent="0.2">
      <c r="A5121" s="5">
        <v>5060</v>
      </c>
      <c r="B5121" s="1832">
        <f>'Revenues 9-14'!C109</f>
        <v>6258124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868172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868172</v>
      </c>
      <c r="C5132" s="2" t="s">
        <v>569</v>
      </c>
      <c r="D5132" s="2" t="str">
        <f t="shared" si="79"/>
        <v>Error?</v>
      </c>
    </row>
    <row r="5133" spans="1:4" x14ac:dyDescent="0.2">
      <c r="A5133" s="5">
        <v>5072</v>
      </c>
      <c r="B5133" s="1832">
        <f>'Revenues 9-14'!C125</f>
        <v>74108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38183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113041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4738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21434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1258</v>
      </c>
      <c r="D5167" s="2" t="str">
        <f t="shared" si="79"/>
        <v>Error?</v>
      </c>
    </row>
    <row r="5168" spans="1:4" x14ac:dyDescent="0.2">
      <c r="A5168" s="5">
        <v>5107</v>
      </c>
      <c r="B5168" s="1832">
        <f>'Revenues 9-14'!C148</f>
        <v>6522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142255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1010427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61224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16906</v>
      </c>
      <c r="D5241" s="2" t="str">
        <f t="shared" si="80"/>
        <v>Error?</v>
      </c>
    </row>
    <row r="5242" spans="1:4" x14ac:dyDescent="0.2">
      <c r="A5242" s="5">
        <v>5181</v>
      </c>
      <c r="B5242" s="1832">
        <f>'Revenues 9-14'!C194</f>
        <v>23161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101291</v>
      </c>
      <c r="C5246" s="2" t="s">
        <v>569</v>
      </c>
      <c r="D5246" s="2" t="str">
        <f t="shared" si="80"/>
        <v>Error?</v>
      </c>
    </row>
    <row r="5247" spans="1:4" x14ac:dyDescent="0.2">
      <c r="A5247" s="5">
        <v>5186</v>
      </c>
      <c r="B5247" s="1832">
        <f>'Revenues 9-14'!C200</f>
        <v>92129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92129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2594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88453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91047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360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360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342665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342665</v>
      </c>
      <c r="C5326" s="2" t="s">
        <v>569</v>
      </c>
      <c r="D5326" s="2" t="str">
        <f t="shared" si="82"/>
        <v>Error?</v>
      </c>
    </row>
    <row r="5327" spans="1:5" x14ac:dyDescent="0.2">
      <c r="A5327" s="5">
        <v>5266</v>
      </c>
      <c r="B5327" s="1832">
        <f>'Revenues 9-14'!C268</f>
        <v>7611216</v>
      </c>
      <c r="C5327" s="2" t="s">
        <v>569</v>
      </c>
      <c r="D5327" s="2" t="str">
        <f t="shared" si="82"/>
        <v>Error?</v>
      </c>
    </row>
    <row r="5328" spans="1:5" x14ac:dyDescent="0.2">
      <c r="A5328" s="5">
        <v>5267</v>
      </c>
      <c r="B5328" s="1832">
        <f>'Revenues 9-14'!D5</f>
        <v>799941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799941</v>
      </c>
      <c r="C5334" s="2" t="s">
        <v>569</v>
      </c>
      <c r="D5334" s="2" t="str">
        <f t="shared" si="82"/>
        <v>Error?</v>
      </c>
    </row>
    <row r="5335" spans="1:4" x14ac:dyDescent="0.2">
      <c r="A5335" s="5">
        <v>5274</v>
      </c>
      <c r="B5335" s="1832">
        <f>'Revenues 9-14'!D14</f>
        <v>572</v>
      </c>
      <c r="D5335" s="2" t="str">
        <f t="shared" si="82"/>
        <v>Error?</v>
      </c>
    </row>
    <row r="5336" spans="1:4" x14ac:dyDescent="0.2">
      <c r="A5336" s="5">
        <v>5275</v>
      </c>
      <c r="B5336" s="1832">
        <f>'Revenues 9-14'!D15</f>
        <v>44</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616</v>
      </c>
      <c r="C5339" s="2" t="s">
        <v>569</v>
      </c>
      <c r="D5339" s="2" t="str">
        <f t="shared" si="82"/>
        <v>Error?</v>
      </c>
    </row>
    <row r="5340" spans="1:4" x14ac:dyDescent="0.2">
      <c r="A5340" s="5">
        <v>5279</v>
      </c>
      <c r="B5340" s="1832">
        <f>'Revenues 9-14'!D65</f>
        <v>14893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14893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6037</v>
      </c>
      <c r="D5354" s="2" t="str">
        <f t="shared" si="82"/>
        <v>Error?</v>
      </c>
    </row>
    <row r="5355" spans="1:4" x14ac:dyDescent="0.2">
      <c r="A5355" s="5">
        <v>5294</v>
      </c>
      <c r="B5355" s="1832">
        <f>'Revenues 9-14'!D108</f>
        <v>6037</v>
      </c>
      <c r="C5355" s="2" t="s">
        <v>569</v>
      </c>
      <c r="D5355" s="2" t="str">
        <f t="shared" si="82"/>
        <v>Error?</v>
      </c>
    </row>
    <row r="5356" spans="1:4" x14ac:dyDescent="0.2">
      <c r="A5356" s="5">
        <v>5295</v>
      </c>
      <c r="B5356" s="1832">
        <f>'Revenues 9-14'!D109</f>
        <v>821487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871487</v>
      </c>
      <c r="C5508" s="2" t="s">
        <v>569</v>
      </c>
      <c r="D5508" s="2" t="str">
        <f t="shared" si="85"/>
        <v>Error?</v>
      </c>
    </row>
    <row r="5509" spans="1:4" x14ac:dyDescent="0.2">
      <c r="A5509" s="5">
        <v>5448</v>
      </c>
      <c r="B5509" s="1832">
        <f>'Revenues 9-14'!E5</f>
        <v>863085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863085</v>
      </c>
      <c r="C5513" s="2" t="s">
        <v>569</v>
      </c>
      <c r="D5513" s="2" t="str">
        <f t="shared" si="85"/>
        <v>Error?</v>
      </c>
    </row>
    <row r="5514" spans="1:4" x14ac:dyDescent="0.2">
      <c r="A5514" s="5">
        <v>5453</v>
      </c>
      <c r="B5514" s="1832">
        <f>'Revenues 9-14'!E14</f>
        <v>617</v>
      </c>
      <c r="D5514" s="2" t="str">
        <f t="shared" si="85"/>
        <v>Error?</v>
      </c>
    </row>
    <row r="5515" spans="1:4" x14ac:dyDescent="0.2">
      <c r="A5515" s="5">
        <v>5454</v>
      </c>
      <c r="B5515" s="1832">
        <f>'Revenues 9-14'!E15</f>
        <v>46</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663</v>
      </c>
      <c r="C5518" s="2" t="s">
        <v>569</v>
      </c>
      <c r="D5518" s="2" t="str">
        <f t="shared" si="85"/>
        <v>Error?</v>
      </c>
    </row>
    <row r="5519" spans="1:4" x14ac:dyDescent="0.2">
      <c r="A5519" s="5">
        <v>5458</v>
      </c>
      <c r="B5519" s="1832">
        <f>'Revenues 9-14'!E65</f>
        <v>7659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7659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871407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871407</v>
      </c>
      <c r="C5552" s="2" t="s">
        <v>569</v>
      </c>
      <c r="D5552" s="2" t="str">
        <f t="shared" si="85"/>
        <v>Error?</v>
      </c>
    </row>
    <row r="5553" spans="1:4" x14ac:dyDescent="0.2">
      <c r="A5553" s="5">
        <v>5492</v>
      </c>
      <c r="B5553" s="1832">
        <f>'Revenues 9-14'!F5</f>
        <v>299990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299990</v>
      </c>
      <c r="C5557" s="2" t="s">
        <v>569</v>
      </c>
      <c r="D5557" s="2" t="str">
        <f t="shared" si="85"/>
        <v>Error?</v>
      </c>
    </row>
    <row r="5558" spans="1:4" x14ac:dyDescent="0.2">
      <c r="A5558" s="5">
        <v>5497</v>
      </c>
      <c r="B5558" s="1832">
        <f>'Revenues 9-14'!F14</f>
        <v>214</v>
      </c>
      <c r="D5558" s="2" t="str">
        <f t="shared" si="85"/>
        <v>Error?</v>
      </c>
    </row>
    <row r="5559" spans="1:4" x14ac:dyDescent="0.2">
      <c r="A5559" s="5">
        <v>5498</v>
      </c>
      <c r="B5559" s="1832">
        <f>'Revenues 9-14'!F15</f>
        <v>16</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230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18478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18478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2498</v>
      </c>
      <c r="D5586" s="2" t="str">
        <f t="shared" si="86"/>
        <v>Error?</v>
      </c>
    </row>
    <row r="5587" spans="1:4" x14ac:dyDescent="0.2">
      <c r="A5587" s="5">
        <v>5526</v>
      </c>
      <c r="B5587" s="1832">
        <f>'Revenues 9-14'!F108</f>
        <v>2498</v>
      </c>
      <c r="C5587" s="2" t="s">
        <v>569</v>
      </c>
      <c r="D5587" s="2" t="str">
        <f t="shared" si="86"/>
        <v>Error?</v>
      </c>
    </row>
    <row r="5588" spans="1:4" x14ac:dyDescent="0.2">
      <c r="A5588" s="5">
        <v>5527</v>
      </c>
      <c r="B5588" s="1832">
        <f>'Revenues 9-14'!F109</f>
        <v>321196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262871</v>
      </c>
      <c r="D5615" s="2" t="str">
        <f t="shared" si="86"/>
        <v>Error?</v>
      </c>
    </row>
    <row r="5616" spans="1:4" x14ac:dyDescent="0.2">
      <c r="A5616" s="10">
        <v>5555</v>
      </c>
      <c r="B5616" s="1832"/>
      <c r="D5616" s="2" t="str">
        <f t="shared" si="86"/>
        <v>OK</v>
      </c>
    </row>
    <row r="5617" spans="1:5" x14ac:dyDescent="0.2">
      <c r="A5617" s="5">
        <v>5556</v>
      </c>
      <c r="B5617" s="1832">
        <f>'Revenues 9-14'!F153</f>
        <v>97350</v>
      </c>
      <c r="D5617" s="2" t="str">
        <f t="shared" si="86"/>
        <v>Error?</v>
      </c>
    </row>
    <row r="5618" spans="1:5" x14ac:dyDescent="0.2">
      <c r="A5618" s="5">
        <v>5557</v>
      </c>
      <c r="B5618" s="1832">
        <f>'Revenues 9-14'!F155</f>
        <v>360221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360221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360221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681417</v>
      </c>
      <c r="C5720" s="2" t="s">
        <v>569</v>
      </c>
      <c r="D5720" s="2" t="str">
        <f t="shared" si="88"/>
        <v>Error?</v>
      </c>
    </row>
    <row r="5721" spans="1:4" x14ac:dyDescent="0.2">
      <c r="A5721" s="5">
        <v>5660</v>
      </c>
      <c r="B5721" s="1832">
        <f>'Revenues 9-14'!G5</f>
        <v>100007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175017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275024</v>
      </c>
      <c r="C5725" s="2" t="s">
        <v>569</v>
      </c>
      <c r="D5725" s="2" t="str">
        <f t="shared" si="88"/>
        <v>Error?</v>
      </c>
    </row>
    <row r="5726" spans="1:4" x14ac:dyDescent="0.2">
      <c r="A5726" s="5">
        <v>5665</v>
      </c>
      <c r="B5726" s="1832">
        <f>'Revenues 9-14'!G14</f>
        <v>197</v>
      </c>
      <c r="D5726" s="2" t="str">
        <f t="shared" si="88"/>
        <v>Error?</v>
      </c>
    </row>
    <row r="5727" spans="1:4" x14ac:dyDescent="0.2">
      <c r="A5727" s="5">
        <v>5666</v>
      </c>
      <c r="B5727" s="1832">
        <f>'Revenues 9-14'!G15</f>
        <v>15</v>
      </c>
      <c r="D5727" s="2" t="str">
        <f t="shared" si="88"/>
        <v>Error?</v>
      </c>
    </row>
    <row r="5728" spans="1:4" x14ac:dyDescent="0.2">
      <c r="A5728" s="5">
        <v>5667</v>
      </c>
      <c r="B5728" s="1832">
        <f>'Revenues 9-14'!G16</f>
        <v>11050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11262</v>
      </c>
      <c r="C5730" s="2" t="s">
        <v>569</v>
      </c>
      <c r="D5730" s="2" t="str">
        <f t="shared" si="88"/>
        <v>Error?</v>
      </c>
    </row>
    <row r="5731" spans="1:4" x14ac:dyDescent="0.2">
      <c r="A5731" s="5">
        <v>5670</v>
      </c>
      <c r="B5731" s="1832">
        <f>'Revenues 9-14'!G65</f>
        <v>2324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2324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288610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v>
      </c>
      <c r="C5915" s="2" t="s">
        <v>569</v>
      </c>
      <c r="D5915" s="2" t="str">
        <f t="shared" si="91"/>
        <v>Error?</v>
      </c>
    </row>
    <row r="5916" spans="1:4" x14ac:dyDescent="0.2">
      <c r="A5916" s="5">
        <v>5855</v>
      </c>
      <c r="B5916" s="1832">
        <f>'Revenues 9-14'!I5</f>
        <v>80005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80005</v>
      </c>
      <c r="C5918" s="2" t="s">
        <v>569</v>
      </c>
      <c r="D5918" s="2" t="str">
        <f t="shared" si="91"/>
        <v>Error?</v>
      </c>
    </row>
    <row r="5919" spans="1:4" x14ac:dyDescent="0.2">
      <c r="A5919" s="5">
        <v>5858</v>
      </c>
      <c r="B5919" s="1832">
        <f>'Revenues 9-14'!I14</f>
        <v>57</v>
      </c>
      <c r="D5919" s="2" t="str">
        <f t="shared" si="91"/>
        <v>Error?</v>
      </c>
    </row>
    <row r="5920" spans="1:4" x14ac:dyDescent="0.2">
      <c r="A5920" s="5">
        <v>5859</v>
      </c>
      <c r="B5920" s="1832">
        <f>'Revenues 9-14'!I15</f>
        <v>4</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61</v>
      </c>
      <c r="C5923" s="2" t="s">
        <v>569</v>
      </c>
      <c r="D5923" s="2" t="str">
        <f t="shared" si="91"/>
        <v>Error?</v>
      </c>
    </row>
    <row r="5924" spans="1:4" x14ac:dyDescent="0.2">
      <c r="A5924" s="5">
        <v>5863</v>
      </c>
      <c r="B5924" s="1832">
        <f>'Revenues 9-14'!I65</f>
        <v>32244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32244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112310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80005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80005</v>
      </c>
      <c r="C5987" s="2" t="s">
        <v>569</v>
      </c>
      <c r="D5987" s="2" t="str">
        <f t="shared" si="92"/>
        <v>Error?</v>
      </c>
    </row>
    <row r="5988" spans="1:4" x14ac:dyDescent="0.2">
      <c r="A5988" s="5">
        <v>5927</v>
      </c>
      <c r="B5988" s="1832">
        <f>'Revenues 9-14'!K14</f>
        <v>57</v>
      </c>
      <c r="D5988" s="2" t="str">
        <f t="shared" si="92"/>
        <v>Error?</v>
      </c>
    </row>
    <row r="5989" spans="1:4" x14ac:dyDescent="0.2">
      <c r="A5989" s="5">
        <v>5928</v>
      </c>
      <c r="B5989" s="1832">
        <f>'Revenues 9-14'!K15</f>
        <v>4</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61</v>
      </c>
      <c r="C5992" s="2" t="s">
        <v>569</v>
      </c>
      <c r="D5992" s="2" t="str">
        <f t="shared" si="92"/>
        <v>Error?</v>
      </c>
    </row>
    <row r="5993" spans="1:4" x14ac:dyDescent="0.2">
      <c r="A5993" s="5">
        <v>5932</v>
      </c>
      <c r="B5993" s="1832">
        <f>'Revenues 9-14'!K65</f>
        <v>2759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2759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82825</v>
      </c>
      <c r="C6023" s="2" t="s">
        <v>569</v>
      </c>
      <c r="D6023" s="2" t="str">
        <f t="shared" si="93"/>
        <v>Error?</v>
      </c>
    </row>
    <row r="6024" spans="1:5" x14ac:dyDescent="0.2">
      <c r="A6024" s="5">
        <v>5963</v>
      </c>
      <c r="B6024" s="1832">
        <f>'Revenues 9-14'!G109</f>
        <v>288610</v>
      </c>
      <c r="C6024" s="2" t="s">
        <v>569</v>
      </c>
      <c r="D6024" s="2" t="str">
        <f t="shared" si="93"/>
        <v>Error?</v>
      </c>
    </row>
    <row r="6025" spans="1:5" x14ac:dyDescent="0.2">
      <c r="A6025" s="5">
        <v>5964</v>
      </c>
      <c r="B6025" s="1832">
        <f>'Revenues 9-14'!H109</f>
        <v>2</v>
      </c>
      <c r="C6025" s="2" t="s">
        <v>569</v>
      </c>
      <c r="D6025" s="2" t="str">
        <f t="shared" si="93"/>
        <v>Error?</v>
      </c>
    </row>
    <row r="6026" spans="1:5" x14ac:dyDescent="0.2">
      <c r="A6026" s="5">
        <v>5965</v>
      </c>
      <c r="B6026" s="1832">
        <f>'Revenues 9-14'!I109</f>
        <v>112310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82825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88616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22101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542.20000000000005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171786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850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171786</v>
      </c>
      <c r="D6215" s="2" t="str">
        <f t="shared" si="96"/>
        <v>Error?</v>
      </c>
      <c r="E6215" s="2" t="s">
        <v>189</v>
      </c>
    </row>
    <row r="6216" spans="1:5" x14ac:dyDescent="0.2">
      <c r="A6216">
        <v>6155</v>
      </c>
      <c r="B6216" s="1832">
        <f>'Assets-Liab 5-6'!J41</f>
        <v>171786</v>
      </c>
      <c r="D6216" s="2" t="str">
        <f t="shared" si="96"/>
        <v>Error?</v>
      </c>
      <c r="E6216" s="2" t="s">
        <v>189</v>
      </c>
    </row>
    <row r="6217" spans="1:5" x14ac:dyDescent="0.2">
      <c r="A6217">
        <v>6156</v>
      </c>
      <c r="B6217" s="1832">
        <f>'Assets-Liab 5-6'!J4</f>
        <v>171786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279239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279239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279239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430430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430430</v>
      </c>
      <c r="D6229" s="2" t="str">
        <f t="shared" si="96"/>
        <v>Error?</v>
      </c>
      <c r="E6229" s="2" t="s">
        <v>189</v>
      </c>
    </row>
    <row r="6230" spans="1:5" x14ac:dyDescent="0.2">
      <c r="A6230">
        <v>6169</v>
      </c>
      <c r="B6230" s="1832">
        <f>'Acct Summary 7-8'!J20</f>
        <v>-151191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-151191</v>
      </c>
      <c r="D6263" s="2" t="str">
        <f t="shared" si="96"/>
        <v>Error?</v>
      </c>
      <c r="E6263" s="2" t="s">
        <v>189</v>
      </c>
    </row>
    <row r="6264" spans="1:5" x14ac:dyDescent="0.2">
      <c r="A6264">
        <v>6203</v>
      </c>
      <c r="B6264" s="1832">
        <f>'Acct Summary 7-8'!J79</f>
        <v>322977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171786</v>
      </c>
      <c r="D6266" s="2" t="str">
        <f t="shared" si="96"/>
        <v>Error?</v>
      </c>
      <c r="E6266" s="2" t="s">
        <v>189</v>
      </c>
    </row>
    <row r="6267" spans="1:5" x14ac:dyDescent="0.2">
      <c r="A6267">
        <v>6206</v>
      </c>
      <c r="B6267" s="1832">
        <f>'Acct Summary 7-8'!C82</f>
        <v>113533</v>
      </c>
      <c r="D6267" s="2" t="str">
        <f t="shared" si="96"/>
        <v>Error?</v>
      </c>
      <c r="E6267" s="2" t="s">
        <v>189</v>
      </c>
    </row>
    <row r="6268" spans="1:5" x14ac:dyDescent="0.2">
      <c r="A6268">
        <v>6207</v>
      </c>
      <c r="B6268" s="1832">
        <f>'Acct Summary 7-8'!D82</f>
        <v>48377</v>
      </c>
      <c r="D6268" s="2" t="str">
        <f t="shared" si="96"/>
        <v>Error?</v>
      </c>
      <c r="E6268" s="2" t="s">
        <v>189</v>
      </c>
    </row>
    <row r="6269" spans="1:5" x14ac:dyDescent="0.2">
      <c r="A6269">
        <v>6208</v>
      </c>
      <c r="B6269" s="1832">
        <f>'Acct Summary 7-8'!E82</f>
        <v>6432</v>
      </c>
      <c r="D6269" s="2" t="str">
        <f t="shared" si="96"/>
        <v>Error?</v>
      </c>
      <c r="E6269" s="2" t="s">
        <v>189</v>
      </c>
    </row>
    <row r="6270" spans="1:5" x14ac:dyDescent="0.2">
      <c r="A6270">
        <v>6209</v>
      </c>
      <c r="B6270" s="1832">
        <f>'Acct Summary 7-8'!F82</f>
        <v>106077</v>
      </c>
      <c r="D6270" s="2" t="str">
        <f t="shared" si="96"/>
        <v>Error?</v>
      </c>
      <c r="E6270" s="2" t="s">
        <v>189</v>
      </c>
    </row>
    <row r="6271" spans="1:5" x14ac:dyDescent="0.2">
      <c r="A6271">
        <v>6210</v>
      </c>
      <c r="B6271" s="1832">
        <f>'Acct Summary 7-8'!G82</f>
        <v>32897</v>
      </c>
      <c r="D6271" s="2" t="str">
        <f t="shared" ref="D6271:D6334" si="97">IF(ISBLANK(B6271),"OK",IF(A6271-B6271=0,"OK","Error?"))</f>
        <v>Error?</v>
      </c>
      <c r="E6271" s="2" t="s">
        <v>189</v>
      </c>
    </row>
    <row r="6272" spans="1:5" x14ac:dyDescent="0.2">
      <c r="A6272">
        <v>6211</v>
      </c>
      <c r="B6272" s="1832">
        <f>'Acct Summary 7-8'!H82</f>
        <v>2</v>
      </c>
      <c r="D6272" s="2" t="str">
        <f t="shared" si="97"/>
        <v>Error?</v>
      </c>
      <c r="E6272" s="2" t="s">
        <v>189</v>
      </c>
    </row>
    <row r="6273" spans="1:5" x14ac:dyDescent="0.2">
      <c r="A6273">
        <v>6212</v>
      </c>
      <c r="B6273" s="1832">
        <f>'Acct Summary 7-8'!I82</f>
        <v>80138</v>
      </c>
      <c r="D6273" s="2" t="str">
        <f t="shared" si="97"/>
        <v>Error?</v>
      </c>
      <c r="E6273" s="2" t="s">
        <v>189</v>
      </c>
    </row>
    <row r="6274" spans="1:5" x14ac:dyDescent="0.2">
      <c r="A6274">
        <v>6213</v>
      </c>
      <c r="B6274" s="1832">
        <f>'Acct Summary 7-8'!J82</f>
        <v>-151191</v>
      </c>
      <c r="D6274" s="2" t="str">
        <f t="shared" si="97"/>
        <v>Error?</v>
      </c>
      <c r="E6274" s="2" t="s">
        <v>189</v>
      </c>
    </row>
    <row r="6275" spans="1:5" x14ac:dyDescent="0.2">
      <c r="A6275">
        <v>6214</v>
      </c>
      <c r="B6275" s="1832">
        <f>'Acct Summary 7-8'!K82</f>
        <v>-72235</v>
      </c>
      <c r="D6275" s="2" t="str">
        <f t="shared" si="97"/>
        <v>Error?</v>
      </c>
      <c r="E6275" s="2" t="s">
        <v>189</v>
      </c>
    </row>
    <row r="6276" spans="1:5" x14ac:dyDescent="0.2">
      <c r="A6276">
        <v>6215</v>
      </c>
      <c r="B6276" s="1832">
        <f>'Acct Summary 7-8'!C83</f>
        <v>2.2762080294509837E-2</v>
      </c>
      <c r="D6276" s="2" t="str">
        <f t="shared" si="97"/>
        <v>Error?</v>
      </c>
      <c r="E6276" s="2" t="s">
        <v>189</v>
      </c>
    </row>
    <row r="6277" spans="1:5" x14ac:dyDescent="0.2">
      <c r="A6277">
        <v>6216</v>
      </c>
      <c r="B6277" s="1832">
        <f>'Acct Summary 7-8'!D83</f>
        <v>6.2613249257084877E-2</v>
      </c>
      <c r="D6277" s="2" t="str">
        <f t="shared" si="97"/>
        <v>Error?</v>
      </c>
      <c r="E6277" s="2" t="s">
        <v>189</v>
      </c>
    </row>
    <row r="6278" spans="1:5" x14ac:dyDescent="0.2">
      <c r="A6278">
        <v>6217</v>
      </c>
      <c r="B6278" s="1832">
        <f>'Acct Summary 7-8'!E83</f>
        <v>5.1234258130809854E-2</v>
      </c>
      <c r="D6278" s="2" t="str">
        <f t="shared" si="97"/>
        <v>Error?</v>
      </c>
      <c r="E6278" s="2" t="s">
        <v>189</v>
      </c>
    </row>
    <row r="6279" spans="1:5" x14ac:dyDescent="0.2">
      <c r="A6279">
        <v>6218</v>
      </c>
      <c r="B6279" s="1832">
        <f>'Acct Summary 7-8'!F83</f>
        <v>8.2375954983932811E-2</v>
      </c>
      <c r="D6279" s="2" t="str">
        <f t="shared" si="97"/>
        <v>Error?</v>
      </c>
      <c r="E6279" s="2" t="s">
        <v>189</v>
      </c>
    </row>
    <row r="6280" spans="1:5" x14ac:dyDescent="0.2">
      <c r="A6280">
        <v>6219</v>
      </c>
      <c r="B6280" s="1832">
        <f>'Acct Summary 7-8'!G83</f>
        <v>0.23627131304135485</v>
      </c>
      <c r="D6280" s="2" t="str">
        <f t="shared" si="97"/>
        <v>Error?</v>
      </c>
      <c r="E6280" s="2" t="s">
        <v>189</v>
      </c>
    </row>
    <row r="6281" spans="1:5" x14ac:dyDescent="0.2">
      <c r="A6281">
        <v>6220</v>
      </c>
      <c r="B6281" s="1832">
        <f>'Acct Summary 7-8'!H83</f>
        <v>3.4897923573547375E-4</v>
      </c>
      <c r="D6281" s="2" t="str">
        <f t="shared" si="97"/>
        <v>Error?</v>
      </c>
      <c r="E6281" s="2" t="s">
        <v>189</v>
      </c>
    </row>
    <row r="6282" spans="1:5" x14ac:dyDescent="0.2">
      <c r="A6282">
        <v>6221</v>
      </c>
      <c r="B6282" s="1832">
        <f>'Acct Summary 7-8'!I83</f>
        <v>4.4063196580425866E-2</v>
      </c>
      <c r="D6282" s="2" t="str">
        <f t="shared" si="97"/>
        <v>Error?</v>
      </c>
      <c r="E6282" s="2" t="s">
        <v>189</v>
      </c>
    </row>
    <row r="6283" spans="1:5" x14ac:dyDescent="0.2">
      <c r="A6283">
        <v>6222</v>
      </c>
      <c r="B6283" s="1832">
        <f>'Acct Summary 7-8'!J83</f>
        <v>-0.88011246550941291</v>
      </c>
      <c r="D6283" s="2" t="str">
        <f t="shared" si="97"/>
        <v>Error?</v>
      </c>
      <c r="E6283" s="2" t="s">
        <v>189</v>
      </c>
    </row>
    <row r="6284" spans="1:5" x14ac:dyDescent="0.2">
      <c r="A6284">
        <v>6223</v>
      </c>
      <c r="B6284" s="1832">
        <f>'Acct Summary 7-8'!K83</f>
        <v>-0.34524702834720183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270043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270043</v>
      </c>
      <c r="D6301" s="2" t="str">
        <f t="shared" si="97"/>
        <v>Error?</v>
      </c>
      <c r="E6301" s="2" t="s">
        <v>189</v>
      </c>
    </row>
    <row r="6302" spans="1:5" x14ac:dyDescent="0.2">
      <c r="A6302">
        <v>6241</v>
      </c>
      <c r="B6302" s="1832">
        <f>'Revenues 9-14'!J14</f>
        <v>193</v>
      </c>
      <c r="D6302" s="2" t="str">
        <f t="shared" si="97"/>
        <v>Error?</v>
      </c>
      <c r="E6302" s="2" t="s">
        <v>189</v>
      </c>
    </row>
    <row r="6303" spans="1:5" x14ac:dyDescent="0.2">
      <c r="A6303">
        <v>6242</v>
      </c>
      <c r="B6303" s="1832">
        <f>'Revenues 9-14'!J15</f>
        <v>14</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207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5099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5099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3162</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4438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728</v>
      </c>
      <c r="D6350" s="2" t="str">
        <f t="shared" si="98"/>
        <v>Error?</v>
      </c>
      <c r="E6350" s="2" t="s">
        <v>189</v>
      </c>
    </row>
    <row r="6351" spans="1:5" x14ac:dyDescent="0.2">
      <c r="A6351">
        <v>6290</v>
      </c>
      <c r="B6351" s="1832">
        <f>'Revenues 9-14'!J108</f>
        <v>3890</v>
      </c>
      <c r="D6351" s="2" t="str">
        <f t="shared" si="98"/>
        <v>Error?</v>
      </c>
      <c r="E6351" s="2" t="s">
        <v>189</v>
      </c>
    </row>
    <row r="6352" spans="1:5" x14ac:dyDescent="0.2">
      <c r="A6352">
        <v>6291</v>
      </c>
      <c r="B6352" s="1832">
        <f>'Revenues 9-14'!J109</f>
        <v>279239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16696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20401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785</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30040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71619</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56531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221867</v>
      </c>
      <c r="D6880" s="2" t="str">
        <f t="shared" si="106"/>
        <v>Error?</v>
      </c>
    </row>
    <row r="6881" spans="1:4" x14ac:dyDescent="0.2">
      <c r="A6881">
        <v>6820</v>
      </c>
      <c r="B6881" s="1832">
        <f>'Expenditures 15-22'!K22</f>
        <v>221867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785</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29656</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29656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29656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34685</v>
      </c>
      <c r="D6983" s="2" t="str">
        <f t="shared" si="108"/>
        <v>Error?</v>
      </c>
    </row>
    <row r="6984" spans="1:4" x14ac:dyDescent="0.2">
      <c r="A6984">
        <v>6923</v>
      </c>
      <c r="B6984" s="1832">
        <f>'Expenditures 15-22'!K86</f>
        <v>34685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45600</v>
      </c>
      <c r="D6987" s="2" t="str">
        <f t="shared" si="108"/>
        <v>Error?</v>
      </c>
    </row>
    <row r="6988" spans="1:4" x14ac:dyDescent="0.2">
      <c r="A6988">
        <v>6927</v>
      </c>
      <c r="B6988" s="1832">
        <f>'Expenditures 15-22'!K88</f>
        <v>45600</v>
      </c>
      <c r="D6988" s="2" t="str">
        <f t="shared" si="108"/>
        <v>Error?</v>
      </c>
    </row>
    <row r="6989" spans="1:4" x14ac:dyDescent="0.2">
      <c r="A6989">
        <v>6928</v>
      </c>
      <c r="B6989" s="1832">
        <f>'Expenditures 15-22'!H89</f>
        <v>2283</v>
      </c>
      <c r="D6989" s="2" t="str">
        <f t="shared" si="108"/>
        <v>Error?</v>
      </c>
    </row>
    <row r="6990" spans="1:4" x14ac:dyDescent="0.2">
      <c r="A6990">
        <v>6929</v>
      </c>
      <c r="B6990" s="1832">
        <f>'Expenditures 15-22'!K89</f>
        <v>2283</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7989</v>
      </c>
      <c r="D6993" s="2" t="str">
        <f t="shared" si="108"/>
        <v>Error?</v>
      </c>
    </row>
    <row r="6994" spans="1:4" x14ac:dyDescent="0.2">
      <c r="A6994">
        <v>6933</v>
      </c>
      <c r="B6994" s="1832">
        <f>'Expenditures 15-22'!K91</f>
        <v>7989</v>
      </c>
      <c r="D6994" s="2" t="str">
        <f t="shared" si="108"/>
        <v>Error?</v>
      </c>
    </row>
    <row r="6995" spans="1:4" x14ac:dyDescent="0.2">
      <c r="A6995">
        <v>6934</v>
      </c>
      <c r="B6995" s="1832">
        <f>'Expenditures 15-22'!H92</f>
        <v>90557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30441</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910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910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910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430430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910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279239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294</v>
      </c>
      <c r="D7073" s="2" t="str">
        <f t="shared" si="109"/>
        <v>Error?</v>
      </c>
    </row>
    <row r="7074" spans="1:4" x14ac:dyDescent="0.2">
      <c r="A7074">
        <v>7013</v>
      </c>
      <c r="B7074" s="1832">
        <f>'Expenditures 15-22'!K216</f>
        <v>294</v>
      </c>
      <c r="D7074" s="2" t="str">
        <f t="shared" si="109"/>
        <v>Error?</v>
      </c>
    </row>
    <row r="7075" spans="1:4" x14ac:dyDescent="0.2">
      <c r="A7075">
        <v>7014</v>
      </c>
      <c r="B7075" s="1832">
        <f>'Expenditures 15-22'!D218</f>
        <v>1383</v>
      </c>
      <c r="D7075" s="2" t="str">
        <f t="shared" si="109"/>
        <v>Error?</v>
      </c>
    </row>
    <row r="7076" spans="1:4" x14ac:dyDescent="0.2">
      <c r="A7076">
        <v>7015</v>
      </c>
      <c r="B7076" s="1832">
        <f>'Expenditures 15-22'!K218</f>
        <v>1383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707</v>
      </c>
      <c r="D7079" s="2" t="str">
        <f t="shared" si="109"/>
        <v>Error?</v>
      </c>
    </row>
    <row r="7080" spans="1:4" x14ac:dyDescent="0.2">
      <c r="A7080">
        <v>7019</v>
      </c>
      <c r="B7080" s="1832">
        <f>'Expenditures 15-22'!K226</f>
        <v>707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37193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37193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17996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17996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32573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32573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8294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8294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162868</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162868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116373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116373</v>
      </c>
      <c r="D7198" s="2" t="str">
        <f t="shared" si="111"/>
        <v>Error?</v>
      </c>
    </row>
    <row r="7199" spans="1:4" x14ac:dyDescent="0.2">
      <c r="A7199">
        <v>7138</v>
      </c>
      <c r="B7199" s="1832">
        <f>'Expenditures 15-22'!C330</f>
        <v>162868</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267562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430430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162868</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267562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430430</v>
      </c>
      <c r="D7224" s="2" t="str">
        <f t="shared" si="111"/>
        <v>Error?</v>
      </c>
    </row>
    <row r="7225" spans="1:4" x14ac:dyDescent="0.2">
      <c r="A7225">
        <v>7164</v>
      </c>
      <c r="B7225" s="1832">
        <f>'Expenditures 15-22'!K343</f>
        <v>-151191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7035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2604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27405</v>
      </c>
      <c r="D7251" s="2" t="str">
        <f t="shared" si="112"/>
        <v>Error?</v>
      </c>
    </row>
    <row r="7252" spans="1:4" x14ac:dyDescent="0.2">
      <c r="A7252">
        <f t="shared" si="113"/>
        <v>7191</v>
      </c>
      <c r="B7252" s="1832">
        <f>'Expenditures 15-22'!D9</f>
        <v>447</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2890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40877</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46679</v>
      </c>
      <c r="D7263" s="2" t="str">
        <f t="shared" si="112"/>
        <v>Error?</v>
      </c>
    </row>
    <row r="7264" spans="1:4" x14ac:dyDescent="0.2">
      <c r="A7264">
        <f t="shared" si="113"/>
        <v>7203</v>
      </c>
      <c r="B7264" s="1832">
        <f>'Expenditures 15-22'!D17</f>
        <v>2935</v>
      </c>
      <c r="D7264" s="2" t="str">
        <f t="shared" si="112"/>
        <v>Error?</v>
      </c>
    </row>
    <row r="7265" spans="1:5" x14ac:dyDescent="0.2">
      <c r="A7265">
        <f t="shared" si="113"/>
        <v>7204</v>
      </c>
      <c r="B7265" s="1832">
        <f>'Expenditures 15-22'!E17</f>
        <v>6225</v>
      </c>
      <c r="D7265" s="2" t="str">
        <f t="shared" si="112"/>
        <v>Error?</v>
      </c>
    </row>
    <row r="7266" spans="1:5" x14ac:dyDescent="0.2">
      <c r="A7266">
        <f t="shared" si="113"/>
        <v>7205</v>
      </c>
      <c r="B7266" s="1832">
        <f>'Expenditures 15-22'!F17</f>
        <v>692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1618</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1618</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539</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539</v>
      </c>
      <c r="D7622" s="2" t="str">
        <f t="shared" si="124"/>
        <v>Error?</v>
      </c>
      <c r="E7622" s="2" t="s">
        <v>19</v>
      </c>
    </row>
    <row r="7623" spans="1:5" x14ac:dyDescent="0.2">
      <c r="A7623">
        <f t="shared" si="123"/>
        <v>7562</v>
      </c>
      <c r="B7623" s="1832">
        <f>'Cap Outlay Deprec 26'!L14</f>
        <v>1079</v>
      </c>
      <c r="D7623" s="2" t="str">
        <f t="shared" si="124"/>
        <v>Error?</v>
      </c>
      <c r="E7623" s="2" t="s">
        <v>19</v>
      </c>
    </row>
    <row r="7624" spans="1:5" x14ac:dyDescent="0.2">
      <c r="A7624">
        <f t="shared" si="123"/>
        <v>7563</v>
      </c>
      <c r="B7624" s="1832">
        <f>'Cap Outlay Deprec 26'!F17</f>
        <v>31351</v>
      </c>
      <c r="D7624" s="2" t="str">
        <f t="shared" si="124"/>
        <v>Error?</v>
      </c>
      <c r="E7624" s="2" t="s">
        <v>19</v>
      </c>
    </row>
    <row r="7625" spans="1:5" x14ac:dyDescent="0.2">
      <c r="A7625">
        <f t="shared" si="123"/>
        <v>7564</v>
      </c>
      <c r="B7625" s="1832">
        <f>'Cap Outlay Deprec 26'!I17</f>
        <v>3135.1</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314927.09999999998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36709</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36709</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18424</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18424</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4438</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6522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10960</v>
      </c>
      <c r="D7719" s="2" t="str">
        <f t="shared" si="126"/>
        <v>Error?</v>
      </c>
      <c r="E7719" s="2" t="s">
        <v>822</v>
      </c>
    </row>
    <row r="7720" spans="1:6" x14ac:dyDescent="0.2">
      <c r="A7720">
        <v>7659</v>
      </c>
      <c r="B7720" s="1832">
        <f>'Rest Tax Levies-Tort Im 25'!H14</f>
        <v>65620</v>
      </c>
      <c r="D7720" s="2" t="str">
        <f t="shared" si="126"/>
        <v>Error?</v>
      </c>
      <c r="E7720" s="2" t="s">
        <v>822</v>
      </c>
    </row>
    <row r="7721" spans="1:6" x14ac:dyDescent="0.2">
      <c r="A7721">
        <v>7660</v>
      </c>
      <c r="B7721" s="1832">
        <f>'Rest Tax Levies-Tort Im 25'!K14</f>
        <v>10960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10960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7705000</v>
      </c>
      <c r="D7817" s="2" t="str">
        <f t="shared" si="128"/>
        <v>Error?</v>
      </c>
      <c r="E7817" s="4" t="s">
        <v>1965</v>
      </c>
    </row>
    <row r="7818" spans="1:5" x14ac:dyDescent="0.2">
      <c r="A7818">
        <v>7757</v>
      </c>
      <c r="B7818" s="1832">
        <f>'PCTC-OEPP 27-28'!F172</f>
        <v>228719.47</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10511169</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30040</v>
      </c>
      <c r="D7826" s="2" t="str">
        <f t="shared" si="129"/>
        <v>Error?</v>
      </c>
      <c r="E7826" s="4" t="s">
        <v>1997</v>
      </c>
    </row>
    <row r="7827" spans="1:5" x14ac:dyDescent="0.2">
      <c r="A7827">
        <v>7766</v>
      </c>
      <c r="B7827" s="1832">
        <f>'PCTC-OEPP 27-28'!F35</f>
        <v>71619</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2961</v>
      </c>
      <c r="D7830" s="2" t="str">
        <f t="shared" si="129"/>
        <v>Error?</v>
      </c>
      <c r="E7830" s="4" t="s">
        <v>1997</v>
      </c>
    </row>
    <row r="7831" spans="1:5" x14ac:dyDescent="0.2">
      <c r="A7831">
        <v>7770</v>
      </c>
      <c r="B7831" s="1832">
        <f>'PCTC-OEPP 27-28'!F52</f>
        <v>1113</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1432548</v>
      </c>
      <c r="D7834" s="2" t="str">
        <f t="shared" si="129"/>
        <v>Error?</v>
      </c>
      <c r="E7834" s="4" t="s">
        <v>1997</v>
      </c>
    </row>
    <row r="7835" spans="1:5" x14ac:dyDescent="0.2">
      <c r="A7835">
        <v>7774</v>
      </c>
      <c r="B7835" s="1832">
        <f>'PCTC-OEPP 27-28'!F78</f>
        <v>9078621</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16744.044632976758</v>
      </c>
      <c r="D7837" s="2" t="str">
        <f t="shared" si="129"/>
        <v>Error?</v>
      </c>
      <c r="E7837" s="4" t="s">
        <v>1997</v>
      </c>
    </row>
    <row r="7838" spans="1:5" x14ac:dyDescent="0.2">
      <c r="A7838">
        <v>7777</v>
      </c>
      <c r="B7838" s="1832">
        <f>'PCTC-OEPP 27-28'!F96</f>
        <v>36803</v>
      </c>
      <c r="D7838" s="2" t="str">
        <f t="shared" si="129"/>
        <v>Error?</v>
      </c>
      <c r="E7838" s="4" t="s">
        <v>1997</v>
      </c>
    </row>
    <row r="7839" spans="1:5" x14ac:dyDescent="0.2">
      <c r="A7839">
        <v>7778</v>
      </c>
      <c r="B7839" s="1832">
        <f>'PCTC-OEPP 27-28'!F102</f>
        <v>85</v>
      </c>
      <c r="D7839" s="2" t="str">
        <f t="shared" si="129"/>
        <v>Error?</v>
      </c>
      <c r="E7839" s="4" t="s">
        <v>1997</v>
      </c>
    </row>
    <row r="7840" spans="1:5" x14ac:dyDescent="0.2">
      <c r="A7840">
        <v>7779</v>
      </c>
      <c r="B7840" s="1832">
        <f>'PCTC-OEPP 27-28'!F103</f>
        <v>6894</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113041</v>
      </c>
      <c r="D7842" s="2" t="str">
        <f t="shared" si="129"/>
        <v>Error?</v>
      </c>
      <c r="E7842" s="4" t="s">
        <v>1997</v>
      </c>
    </row>
    <row r="7843" spans="1:5" x14ac:dyDescent="0.2">
      <c r="A7843">
        <v>7782</v>
      </c>
      <c r="B7843" s="1832">
        <f>'PCTC-OEPP 27-28'!F107</f>
        <v>21434</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6522</v>
      </c>
      <c r="D7846" s="2" t="str">
        <f t="shared" si="129"/>
        <v>Error?</v>
      </c>
      <c r="E7846" s="4" t="s">
        <v>1997</v>
      </c>
    </row>
    <row r="7847" spans="1:5" x14ac:dyDescent="0.2">
      <c r="A7847">
        <v>7786</v>
      </c>
      <c r="B7847" s="1832">
        <f>'PCTC-OEPP 27-28'!F112</f>
        <v>360221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101291</v>
      </c>
      <c r="D7858" s="2" t="str">
        <f t="shared" si="129"/>
        <v>Error?</v>
      </c>
      <c r="E7858" s="4" t="s">
        <v>1997</v>
      </c>
    </row>
    <row r="7859" spans="1:5" x14ac:dyDescent="0.2">
      <c r="A7859">
        <v>7798</v>
      </c>
      <c r="B7859" s="1832">
        <f>'PCTC-OEPP 27-28'!F127</f>
        <v>92129</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88453</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360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21743</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16600</v>
      </c>
      <c r="D7874" s="2" t="str">
        <f t="shared" si="129"/>
        <v>Error?</v>
      </c>
      <c r="E7874" s="4" t="s">
        <v>1997</v>
      </c>
    </row>
    <row r="7875" spans="1:5" x14ac:dyDescent="0.2">
      <c r="A7875">
        <v>7814</v>
      </c>
      <c r="B7875" s="1832">
        <f>'PCTC-OEPP 27-28'!F170</f>
        <v>19495</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1284209.47</v>
      </c>
      <c r="D7877" s="2" t="str">
        <f t="shared" si="129"/>
        <v>Error?</v>
      </c>
      <c r="E7877" s="4" t="s">
        <v>1997</v>
      </c>
    </row>
    <row r="7878" spans="1:5" x14ac:dyDescent="0.2">
      <c r="A7878">
        <v>7817</v>
      </c>
      <c r="B7878" s="1832">
        <f>'PCTC-OEPP 27-28'!F176</f>
        <v>7794411.5300000003</v>
      </c>
      <c r="D7878" s="2" t="str">
        <f t="shared" si="129"/>
        <v>Error?</v>
      </c>
      <c r="E7878" s="4" t="s">
        <v>1997</v>
      </c>
    </row>
    <row r="7879" spans="1:5" x14ac:dyDescent="0.2">
      <c r="A7879">
        <v>7818</v>
      </c>
      <c r="B7879" s="1832">
        <f>'PCTC-OEPP 27-28'!F178</f>
        <v>8109338.6299999999</v>
      </c>
      <c r="D7879" s="2" t="str">
        <f t="shared" si="129"/>
        <v>Error?</v>
      </c>
      <c r="E7879" s="4" t="s">
        <v>1997</v>
      </c>
    </row>
    <row r="7880" spans="1:5" x14ac:dyDescent="0.2">
      <c r="A7880">
        <v>7819</v>
      </c>
      <c r="B7880" s="1832">
        <f>'PCTC-OEPP 27-28'!F180</f>
        <v>14956.360438952415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Serena CUSD 2</v>
      </c>
      <c r="B7" s="2536"/>
      <c r="C7" s="2536"/>
      <c r="D7" s="2537"/>
      <c r="E7" s="2538">
        <f>COVER!A13</f>
        <v>35050002026</v>
      </c>
      <c r="F7" s="253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Gorenz and Associates, Ltd.</v>
      </c>
      <c r="H9" s="2551"/>
      <c r="I9" s="2551"/>
      <c r="J9" s="2551"/>
      <c r="K9" s="2551"/>
      <c r="L9" s="2552"/>
    </row>
    <row r="10" spans="1:29" ht="13.5" customHeight="1" x14ac:dyDescent="0.2">
      <c r="A10" s="2524" t="str">
        <f>COVER!A38</f>
        <v>Spencer Byrd</v>
      </c>
      <c r="B10" s="2525"/>
      <c r="C10" s="2525"/>
      <c r="D10" s="2525"/>
      <c r="E10" s="2525"/>
      <c r="F10" s="2526"/>
      <c r="G10" s="2518" t="str">
        <f>COVER!T17</f>
        <v>4200 N Knoxville Ave.</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khendrickson@gorenzcpa.com</v>
      </c>
      <c r="J13" s="2531"/>
      <c r="K13" s="2531"/>
      <c r="L13" s="2532"/>
    </row>
    <row r="14" spans="1:29" ht="13.5" customHeight="1" x14ac:dyDescent="0.2">
      <c r="A14" s="2518" t="str">
        <f>COVER!A19</f>
        <v>2283 N. 3812th Road, P.O. Box 107</v>
      </c>
      <c r="B14" s="2519"/>
      <c r="C14" s="2519"/>
      <c r="D14" s="2519"/>
      <c r="E14" s="2519"/>
      <c r="F14" s="2520"/>
      <c r="G14" s="974" t="s">
        <v>1175</v>
      </c>
      <c r="H14" s="972"/>
      <c r="I14" s="972"/>
      <c r="J14" s="972"/>
      <c r="K14" s="972"/>
      <c r="L14" s="973"/>
    </row>
    <row r="15" spans="1:29" ht="13.5" customHeight="1" x14ac:dyDescent="0.2">
      <c r="A15" s="2518" t="str">
        <f>COVER!A21</f>
        <v>Serena</v>
      </c>
      <c r="B15" s="2519"/>
      <c r="C15" s="2519"/>
      <c r="D15" s="2519"/>
      <c r="E15" s="2519"/>
      <c r="F15" s="2520"/>
      <c r="G15" s="2515" t="str">
        <f>COVER!T15</f>
        <v>Kyle Hendrickson, CPA</v>
      </c>
      <c r="H15" s="2516"/>
      <c r="I15" s="2516"/>
      <c r="J15" s="2516"/>
      <c r="K15" s="2516"/>
      <c r="L15" s="2517"/>
    </row>
    <row r="16" spans="1:29" ht="12.2" customHeight="1" x14ac:dyDescent="0.2">
      <c r="A16" s="2541">
        <f>COVER!A25</f>
        <v>60549</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309-685-7621</v>
      </c>
      <c r="H18" s="2536"/>
      <c r="I18" s="2536"/>
      <c r="J18" s="2536"/>
      <c r="K18" s="2535"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Serena CUSD 2</v>
      </c>
      <c r="B1" s="2558"/>
      <c r="C1" s="2558"/>
      <c r="D1" s="2558"/>
    </row>
    <row r="2" spans="1:11" s="991" customFormat="1" ht="12.75" x14ac:dyDescent="0.2">
      <c r="A2" s="2559">
        <f>'Single Audit Cover'!E7</f>
        <v>35050002026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Serena CUSD 2</v>
      </c>
      <c r="B1" s="2562"/>
      <c r="C1" s="2562"/>
      <c r="D1" s="2562"/>
      <c r="E1" s="2562"/>
    </row>
    <row r="2" spans="1:5" x14ac:dyDescent="0.2">
      <c r="A2" s="2563">
        <f>'Single Audit Cover'!E7</f>
        <v>35050002026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342665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22101</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-19495</v>
      </c>
    </row>
    <row r="19" spans="1:4" ht="13.5" thickBot="1" x14ac:dyDescent="0.25">
      <c r="A19" s="1041" t="s">
        <v>1224</v>
      </c>
      <c r="D19" s="1042">
        <f>SUM(D10:D17)</f>
        <v>345271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345271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345271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Serena CUSD 2</v>
      </c>
      <c r="C1" s="2566"/>
      <c r="D1" s="2566"/>
      <c r="E1" s="2566"/>
      <c r="F1" s="2566"/>
      <c r="G1" s="2566"/>
      <c r="H1" s="2566"/>
      <c r="I1" s="2566"/>
      <c r="J1" s="2566"/>
      <c r="K1" s="2566"/>
      <c r="L1" s="2566"/>
      <c r="M1" s="2566"/>
    </row>
    <row r="2" spans="2:14" ht="15" x14ac:dyDescent="0.2">
      <c r="B2" s="2567">
        <f>'Single Audit Cover'!E7</f>
        <v>35050002026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Serena CUSD 2</v>
      </c>
      <c r="B1" s="2579"/>
      <c r="C1" s="2579"/>
      <c r="D1" s="2579"/>
      <c r="E1" s="2579"/>
      <c r="F1" s="2579"/>
    </row>
    <row r="2" spans="1:7" ht="13.5" customHeight="1" x14ac:dyDescent="0.2">
      <c r="A2" s="2567">
        <f>'Single Audit Cover'!E7</f>
        <v>35050002026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2087</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Serena CUSD 2</v>
      </c>
      <c r="C1" s="2594"/>
      <c r="D1" s="2594"/>
      <c r="E1" s="2594"/>
      <c r="F1" s="2594"/>
      <c r="G1" s="2594"/>
      <c r="H1" s="2594"/>
      <c r="I1" s="2594"/>
      <c r="J1" s="1178"/>
    </row>
    <row r="2" spans="2:10" s="295" customFormat="1" ht="12.75" customHeight="1" x14ac:dyDescent="0.2">
      <c r="B2" s="2595">
        <f>'Single Audit Cover'!E7</f>
        <v>35050002026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Serena CUSD 2</v>
      </c>
      <c r="C1" s="2593"/>
      <c r="D1" s="2593"/>
      <c r="E1" s="2593"/>
      <c r="F1" s="2593"/>
      <c r="G1" s="2593"/>
      <c r="H1" s="2593"/>
      <c r="I1" s="2593"/>
      <c r="J1" s="2593"/>
      <c r="K1" s="2593"/>
      <c r="L1" s="1144"/>
      <c r="M1" s="1144"/>
    </row>
    <row r="2" spans="1:13" ht="12" customHeight="1" x14ac:dyDescent="0.2">
      <c r="B2" s="2595">
        <f>'Single Audit Cover'!E7</f>
        <v>35050002026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Serena CUSD 2</v>
      </c>
      <c r="C1" s="2616"/>
      <c r="D1" s="2616"/>
      <c r="E1" s="2616"/>
      <c r="F1" s="2616"/>
      <c r="G1" s="2616"/>
      <c r="H1" s="2616"/>
      <c r="I1" s="2616"/>
      <c r="J1" s="2616"/>
      <c r="K1" s="2616"/>
      <c r="L1" s="1221"/>
    </row>
    <row r="2" spans="1:12" ht="12.75" customHeight="1" x14ac:dyDescent="0.2">
      <c r="B2" s="2617">
        <f>'Single Audit Cover'!E7</f>
        <v>35050002026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Serena CUSD 2</v>
      </c>
      <c r="C1" s="2593"/>
      <c r="D1" s="2593"/>
      <c r="E1" s="1240"/>
    </row>
    <row r="2" spans="2:5" s="1058" customFormat="1" ht="12.75" customHeight="1" x14ac:dyDescent="0.2">
      <c r="B2" s="2595">
        <f>'Single Audit Cover'!E7</f>
        <v>35050002026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t="s">
        <v>2071</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173888470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2.7604E-2</v>
      </c>
      <c r="E10" s="333" t="s">
        <v>998</v>
      </c>
      <c r="F10" s="332">
        <v>4.8996999999999999E-3</v>
      </c>
      <c r="G10" s="333" t="s">
        <v>998</v>
      </c>
      <c r="H10" s="332">
        <v>1.9553000000000001E-3</v>
      </c>
      <c r="I10" s="333" t="s">
        <v>999</v>
      </c>
      <c r="J10" s="1424">
        <f>ROUND(D10+F10+H10,5)</f>
        <v>3.4459999999999998E-2</v>
      </c>
      <c r="K10" s="217"/>
      <c r="L10" s="332">
        <v>4.8890000000000001E-4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9276430</v>
      </c>
      <c r="E16" s="1547"/>
      <c r="F16" s="1546">
        <f>SUM('Acct Summary 7-8'!C17,'Acct Summary 7-8'!D17,'Acct Summary 7-8'!F17)</f>
        <v>8960051</v>
      </c>
      <c r="G16" s="1547"/>
      <c r="H16" s="1546">
        <f>SUM(D16-F16)</f>
        <v>316379</v>
      </c>
      <c r="I16" s="1548"/>
      <c r="J16" s="1546">
        <f>SUM('Acct Summary 7-8'!C81,'Acct Summary 7-8'!D81,'Acct Summary 7-8'!F81,'Acct Summary 7-8'!I81)</f>
        <v>8866869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23996608.860000003</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3275000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Serena CUSD 2</v>
      </c>
      <c r="E7" s="368"/>
      <c r="G7" s="247"/>
      <c r="H7" s="364"/>
      <c r="I7" s="364"/>
      <c r="J7" s="364"/>
      <c r="K7" s="364"/>
      <c r="L7" s="307"/>
      <c r="M7" s="307"/>
      <c r="N7" s="307"/>
      <c r="O7" s="307"/>
      <c r="P7" s="307"/>
    </row>
    <row r="8" spans="1:18" ht="12.75" x14ac:dyDescent="0.2">
      <c r="A8" s="307"/>
      <c r="B8" s="307"/>
      <c r="C8" s="366" t="s">
        <v>1115</v>
      </c>
      <c r="D8" s="369">
        <f>COVER!A13</f>
        <v>35050002026</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8866869</v>
      </c>
      <c r="I12" s="380"/>
      <c r="J12" s="380"/>
      <c r="K12" s="1559">
        <f>TRUNC((H12/H13*100000),5)/100000</f>
        <v>0.95584928679999992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9276430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8960051</v>
      </c>
      <c r="I17" s="380"/>
      <c r="J17" s="389"/>
      <c r="K17" s="1559">
        <f>TRUNC((H17/H18*100000),5)/100000</f>
        <v>0.9658943149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9276430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8867719</v>
      </c>
      <c r="I24" s="394"/>
      <c r="J24" s="394"/>
      <c r="K24" s="1555">
        <f>TRUNC(((H24/H25*100000)/100000),2)</f>
        <v>356.29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24889.030559999999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5093367.1747700004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3275000</v>
      </c>
      <c r="I32" s="392"/>
      <c r="J32" s="392"/>
      <c r="K32" s="1555">
        <f>TRUNC(100-((((H32/H33*100))*100)/100),2)</f>
        <v>86.35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23996608.860000003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X21" sqref="X21:AA2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213181</v>
      </c>
      <c r="D4" s="1573">
        <v>772632</v>
      </c>
      <c r="E4" s="1573">
        <v>125541</v>
      </c>
      <c r="F4" s="1573">
        <v>1040818</v>
      </c>
      <c r="G4" s="1573">
        <v>139234</v>
      </c>
      <c r="H4" s="1573">
        <v>5731</v>
      </c>
      <c r="I4" s="1573">
        <v>1571406</v>
      </c>
      <c r="J4" s="1574">
        <v>171786</v>
      </c>
      <c r="K4" s="1573">
        <v>209227</v>
      </c>
      <c r="L4" s="1573">
        <v>137329</v>
      </c>
      <c r="M4" s="1575"/>
      <c r="N4" s="1576"/>
    </row>
    <row r="5" spans="1:14" x14ac:dyDescent="0.2">
      <c r="A5" s="427" t="s">
        <v>985</v>
      </c>
      <c r="B5" s="429">
        <v>120</v>
      </c>
      <c r="C5" s="1572">
        <v>4775482</v>
      </c>
      <c r="D5" s="1573">
        <v>0</v>
      </c>
      <c r="E5" s="1573">
        <v>0</v>
      </c>
      <c r="F5" s="1573">
        <v>246900</v>
      </c>
      <c r="G5" s="1573">
        <v>0</v>
      </c>
      <c r="H5" s="1573">
        <v>0</v>
      </c>
      <c r="I5" s="1573">
        <v>247300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4988663</v>
      </c>
      <c r="D13" s="1587">
        <f t="shared" ref="D13:L13" si="0">SUM(D4:D12)</f>
        <v>772632</v>
      </c>
      <c r="E13" s="1587">
        <f t="shared" si="0"/>
        <v>125541</v>
      </c>
      <c r="F13" s="1587">
        <f t="shared" si="0"/>
        <v>1287718</v>
      </c>
      <c r="G13" s="1587">
        <f t="shared" si="0"/>
        <v>139234</v>
      </c>
      <c r="H13" s="1587">
        <f t="shared" si="0"/>
        <v>5731</v>
      </c>
      <c r="I13" s="1587">
        <f t="shared" si="0"/>
        <v>1818706</v>
      </c>
      <c r="J13" s="1587">
        <f t="shared" si="0"/>
        <v>171786</v>
      </c>
      <c r="K13" s="1587">
        <f t="shared" si="0"/>
        <v>209227</v>
      </c>
      <c r="L13" s="1587">
        <f t="shared" si="0"/>
        <v>137329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398401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14354833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231848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779649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125541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3149459</v>
      </c>
    </row>
    <row r="23" spans="1:14" ht="13.5" customHeight="1" thickBot="1" x14ac:dyDescent="0.25">
      <c r="A23" s="1426" t="s">
        <v>638</v>
      </c>
      <c r="B23" s="1429"/>
      <c r="C23" s="1575"/>
      <c r="D23" s="1575"/>
      <c r="E23" s="1575"/>
      <c r="F23" s="1575"/>
      <c r="G23" s="1575"/>
      <c r="H23" s="1575"/>
      <c r="I23" s="1575"/>
      <c r="J23" s="1575"/>
      <c r="K23" s="1575"/>
      <c r="L23" s="1575"/>
      <c r="M23" s="1594">
        <f>SUM(M15:M22)</f>
        <v>15764731</v>
      </c>
      <c r="N23" s="1594">
        <f>SUM(N21:N22)</f>
        <v>3275000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850</v>
      </c>
      <c r="D33" s="1574"/>
      <c r="E33" s="1574"/>
      <c r="F33" s="1574"/>
      <c r="G33" s="1574"/>
      <c r="H33" s="1574"/>
      <c r="I33" s="1574"/>
      <c r="J33" s="1574"/>
      <c r="K33" s="1574"/>
      <c r="L33" s="1574">
        <v>137329</v>
      </c>
      <c r="M33" s="1575"/>
      <c r="N33" s="1576"/>
    </row>
    <row r="34" spans="1:14" ht="13.5" customHeight="1" thickBot="1" x14ac:dyDescent="0.25">
      <c r="A34" s="1427" t="s">
        <v>649</v>
      </c>
      <c r="B34" s="1428"/>
      <c r="C34" s="1600">
        <f>SUM(C25:C33)</f>
        <v>850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137329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3275000</v>
      </c>
    </row>
    <row r="37" spans="1:14" ht="13.5" thickBot="1" x14ac:dyDescent="0.25">
      <c r="A37" s="1426" t="s">
        <v>648</v>
      </c>
      <c r="B37" s="1429"/>
      <c r="C37" s="1582"/>
      <c r="D37" s="1582"/>
      <c r="E37" s="1582"/>
      <c r="F37" s="1582"/>
      <c r="G37" s="1582"/>
      <c r="H37" s="1582"/>
      <c r="I37" s="1582"/>
      <c r="J37" s="1582"/>
      <c r="K37" s="1582"/>
      <c r="L37" s="1585"/>
      <c r="M37" s="1575"/>
      <c r="N37" s="1594">
        <f>SUM(N36:N36)</f>
        <v>3275000</v>
      </c>
    </row>
    <row r="38" spans="1:14" s="307" customFormat="1" ht="13.5" customHeight="1" thickTop="1" x14ac:dyDescent="0.2">
      <c r="A38" s="438" t="s">
        <v>417</v>
      </c>
      <c r="B38" s="432">
        <v>714</v>
      </c>
      <c r="C38" s="1573"/>
      <c r="D38" s="1573">
        <v>50000</v>
      </c>
      <c r="E38" s="1573">
        <v>0</v>
      </c>
      <c r="F38" s="1573">
        <v>0</v>
      </c>
      <c r="G38" s="1573">
        <v>78786</v>
      </c>
      <c r="H38" s="1573">
        <v>0</v>
      </c>
      <c r="I38" s="1573">
        <v>0</v>
      </c>
      <c r="J38" s="1574">
        <v>0</v>
      </c>
      <c r="K38" s="1573">
        <v>0</v>
      </c>
      <c r="L38" s="1586">
        <v>0</v>
      </c>
      <c r="M38" s="1604"/>
      <c r="N38" s="1604"/>
    </row>
    <row r="39" spans="1:14" s="307" customFormat="1" ht="13.5" customHeight="1" x14ac:dyDescent="0.2">
      <c r="A39" s="438" t="s">
        <v>339</v>
      </c>
      <c r="B39" s="432">
        <v>730</v>
      </c>
      <c r="C39" s="1573">
        <v>4987813</v>
      </c>
      <c r="D39" s="1573">
        <v>722632</v>
      </c>
      <c r="E39" s="1573">
        <v>125541</v>
      </c>
      <c r="F39" s="1573">
        <v>1287718</v>
      </c>
      <c r="G39" s="1573">
        <v>60448</v>
      </c>
      <c r="H39" s="1573">
        <v>5731</v>
      </c>
      <c r="I39" s="1573">
        <v>1818706</v>
      </c>
      <c r="J39" s="1574">
        <v>171786</v>
      </c>
      <c r="K39" s="1573">
        <v>209227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15764731</v>
      </c>
      <c r="N40" s="1604"/>
    </row>
    <row r="41" spans="1:14" ht="13.5" customHeight="1" thickBot="1" x14ac:dyDescent="0.25">
      <c r="A41" s="1426" t="s">
        <v>650</v>
      </c>
      <c r="B41" s="1405"/>
      <c r="C41" s="1594">
        <f>(SUM(C34,C37,C38,C39))</f>
        <v>4988663</v>
      </c>
      <c r="D41" s="1594">
        <f t="shared" ref="D41:L41" si="2">SUM(D34,D37,D38:D39)</f>
        <v>772632</v>
      </c>
      <c r="E41" s="1594">
        <f t="shared" si="2"/>
        <v>125541</v>
      </c>
      <c r="F41" s="1594">
        <f t="shared" si="2"/>
        <v>1287718</v>
      </c>
      <c r="G41" s="1594">
        <f t="shared" si="2"/>
        <v>139234</v>
      </c>
      <c r="H41" s="1594">
        <f t="shared" si="2"/>
        <v>5731</v>
      </c>
      <c r="I41" s="1594">
        <f t="shared" si="2"/>
        <v>1818706</v>
      </c>
      <c r="J41" s="1594">
        <f t="shared" si="2"/>
        <v>171786</v>
      </c>
      <c r="K41" s="1594">
        <f t="shared" si="2"/>
        <v>209227</v>
      </c>
      <c r="L41" s="1594">
        <f t="shared" si="2"/>
        <v>137329</v>
      </c>
      <c r="M41" s="1594">
        <f>SUM(M40)</f>
        <v>15764731</v>
      </c>
      <c r="N41" s="1594">
        <f>SUM(N37)</f>
        <v>3275000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X21" sqref="X21:AA2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6258124</v>
      </c>
      <c r="D4" s="1606">
        <f>'Revenues 9-14'!D109</f>
        <v>821487</v>
      </c>
      <c r="E4" s="1606">
        <f>'Revenues 9-14'!E109</f>
        <v>871407</v>
      </c>
      <c r="F4" s="1606">
        <f>'Revenues 9-14'!F109</f>
        <v>321196</v>
      </c>
      <c r="G4" s="1606">
        <f>'Revenues 9-14'!G109</f>
        <v>288610</v>
      </c>
      <c r="H4" s="1606">
        <f>'Revenues 9-14'!H109</f>
        <v>2</v>
      </c>
      <c r="I4" s="1606">
        <f>'Revenues 9-14'!I109</f>
        <v>112310</v>
      </c>
      <c r="J4" s="1606">
        <f>'Revenues 9-14'!J109</f>
        <v>279239</v>
      </c>
      <c r="K4" s="1606">
        <f>'Revenues 9-14'!K109</f>
        <v>82825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1010427</v>
      </c>
      <c r="D6" s="1607">
        <f>'Revenues 9-14'!D170</f>
        <v>50000</v>
      </c>
      <c r="E6" s="1607">
        <f>'Revenues 9-14'!E170</f>
        <v>0</v>
      </c>
      <c r="F6" s="1607">
        <f>'Revenues 9-14'!F170</f>
        <v>360221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342665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7611216</v>
      </c>
      <c r="D8" s="1594">
        <f t="shared" ref="D8:K8" si="0">SUM(D4:D7)</f>
        <v>871487</v>
      </c>
      <c r="E8" s="1594">
        <f t="shared" si="0"/>
        <v>871407</v>
      </c>
      <c r="F8" s="1594">
        <f t="shared" si="0"/>
        <v>681417</v>
      </c>
      <c r="G8" s="1594">
        <f t="shared" si="0"/>
        <v>288610</v>
      </c>
      <c r="H8" s="1594">
        <f t="shared" si="0"/>
        <v>2</v>
      </c>
      <c r="I8" s="1594">
        <f t="shared" si="0"/>
        <v>112310</v>
      </c>
      <c r="J8" s="1594">
        <f t="shared" si="0"/>
        <v>279239</v>
      </c>
      <c r="K8" s="1594">
        <f t="shared" si="0"/>
        <v>82825</v>
      </c>
      <c r="L8" s="325"/>
    </row>
    <row r="9" spans="1:13" ht="15.75" thickTop="1" x14ac:dyDescent="0.2">
      <c r="A9" s="449" t="s">
        <v>1634</v>
      </c>
      <c r="B9" s="450">
        <v>3998</v>
      </c>
      <c r="C9" s="1586">
        <v>3886062</v>
      </c>
      <c r="D9" s="1613"/>
      <c r="E9" s="1586"/>
      <c r="F9" s="1586"/>
      <c r="G9" s="1614"/>
      <c r="H9" s="1586"/>
      <c r="I9" s="1609" t="s">
        <v>1159</v>
      </c>
      <c r="J9" s="1583"/>
      <c r="K9" s="1586"/>
      <c r="L9" s="325"/>
    </row>
    <row r="10" spans="1:13" s="452" customFormat="1" ht="13.5" thickBot="1" x14ac:dyDescent="0.25">
      <c r="A10" s="1426" t="s">
        <v>1163</v>
      </c>
      <c r="B10" s="1407"/>
      <c r="C10" s="1594">
        <f>SUM(C8:C9)</f>
        <v>11497278</v>
      </c>
      <c r="D10" s="1594">
        <f t="shared" ref="D10:K10" si="1">SUM(D8:D9)</f>
        <v>871487</v>
      </c>
      <c r="E10" s="1594">
        <f t="shared" si="1"/>
        <v>871407</v>
      </c>
      <c r="F10" s="1594">
        <f t="shared" si="1"/>
        <v>681417</v>
      </c>
      <c r="G10" s="1594">
        <f t="shared" si="1"/>
        <v>288610</v>
      </c>
      <c r="H10" s="1594">
        <f t="shared" si="1"/>
        <v>2</v>
      </c>
      <c r="I10" s="1594">
        <f t="shared" si="1"/>
        <v>112310</v>
      </c>
      <c r="J10" s="1594">
        <f t="shared" si="1"/>
        <v>279239</v>
      </c>
      <c r="K10" s="1594">
        <f t="shared" si="1"/>
        <v>82825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5254376</v>
      </c>
      <c r="D12" s="1616" t="s">
        <v>1159</v>
      </c>
      <c r="E12" s="1575" t="s">
        <v>1159</v>
      </c>
      <c r="F12" s="1575" t="s">
        <v>1159</v>
      </c>
      <c r="G12" s="1606">
        <f>'Expenditures 15-22'!K229</f>
        <v>103158</v>
      </c>
      <c r="H12" s="1617"/>
      <c r="I12" s="1575" t="s">
        <v>1159</v>
      </c>
      <c r="J12" s="1575" t="s">
        <v>1159</v>
      </c>
      <c r="K12" s="1617" t="s">
        <v>1159</v>
      </c>
      <c r="L12" s="325"/>
    </row>
    <row r="13" spans="1:13" ht="15.75" customHeight="1" x14ac:dyDescent="0.2">
      <c r="A13" s="1314" t="s">
        <v>454</v>
      </c>
      <c r="B13" s="1316">
        <v>2000</v>
      </c>
      <c r="C13" s="1607">
        <f>'Expenditures 15-22'!K74</f>
        <v>2045366</v>
      </c>
      <c r="D13" s="1607">
        <f>'Expenditures 15-22'!K129</f>
        <v>823110</v>
      </c>
      <c r="E13" s="1576" t="s">
        <v>1159</v>
      </c>
      <c r="F13" s="1607">
        <f>'Expenditures 15-22'!K184</f>
        <v>602964</v>
      </c>
      <c r="G13" s="1607">
        <f>'Expenditures 15-22'!K279</f>
        <v>152555</v>
      </c>
      <c r="H13" s="1607">
        <f>'Expenditures 15-22'!K303</f>
        <v>0</v>
      </c>
      <c r="I13" s="1575" t="s">
        <v>1159</v>
      </c>
      <c r="J13" s="1607">
        <f>'Expenditures 15-22'!K330</f>
        <v>430430</v>
      </c>
      <c r="K13" s="1618">
        <f>'Expenditures 15-22'!K352</f>
        <v>155060</v>
      </c>
      <c r="L13" s="325"/>
    </row>
    <row r="14" spans="1:13" ht="15.75" customHeight="1" x14ac:dyDescent="0.2">
      <c r="A14" s="1314" t="s">
        <v>446</v>
      </c>
      <c r="B14" s="1316">
        <v>3000</v>
      </c>
      <c r="C14" s="1607">
        <f>'Expenditures 15-22'!K75</f>
        <v>1113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230746</v>
      </c>
      <c r="D15" s="1607">
        <f>'Expenditures 15-22'!K139</f>
        <v>0</v>
      </c>
      <c r="E15" s="1607">
        <f>'Expenditures 15-22'!K160</f>
        <v>0</v>
      </c>
      <c r="F15" s="1607">
        <f>'Expenditures 15-22'!K196</f>
        <v>2376</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864975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7531601</v>
      </c>
      <c r="D17" s="1594">
        <f t="shared" si="2"/>
        <v>823110</v>
      </c>
      <c r="E17" s="1594">
        <f t="shared" si="2"/>
        <v>864975</v>
      </c>
      <c r="F17" s="1594">
        <f t="shared" si="2"/>
        <v>605340</v>
      </c>
      <c r="G17" s="1594">
        <f t="shared" si="2"/>
        <v>255713</v>
      </c>
      <c r="H17" s="1594">
        <f t="shared" si="2"/>
        <v>0</v>
      </c>
      <c r="I17" s="1575"/>
      <c r="J17" s="1594">
        <f>SUM(J12:J16)</f>
        <v>430430</v>
      </c>
      <c r="K17" s="1594">
        <f>SUM(K12:K16)</f>
        <v>155060</v>
      </c>
      <c r="L17" s="325"/>
    </row>
    <row r="18" spans="1:12" ht="15" customHeight="1" thickTop="1" x14ac:dyDescent="0.2">
      <c r="A18" s="1430" t="s">
        <v>1635</v>
      </c>
      <c r="B18" s="1431">
        <v>4180</v>
      </c>
      <c r="C18" s="1606">
        <f t="shared" ref="C18:H18" si="3">C9</f>
        <v>3886062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11417663</v>
      </c>
      <c r="D19" s="1594">
        <f t="shared" si="4"/>
        <v>823110</v>
      </c>
      <c r="E19" s="1594">
        <f t="shared" si="4"/>
        <v>864975</v>
      </c>
      <c r="F19" s="1594">
        <f t="shared" si="4"/>
        <v>605340</v>
      </c>
      <c r="G19" s="1594">
        <f t="shared" si="4"/>
        <v>255713</v>
      </c>
      <c r="H19" s="1594">
        <f t="shared" si="4"/>
        <v>0</v>
      </c>
      <c r="I19" s="1575"/>
      <c r="J19" s="1594">
        <f>SUM(J17:J18)</f>
        <v>430430</v>
      </c>
      <c r="K19" s="1594">
        <f>SUM(K17:K18)</f>
        <v>155060</v>
      </c>
      <c r="L19" s="325"/>
    </row>
    <row r="20" spans="1:12" ht="16.5" thickTop="1" thickBot="1" x14ac:dyDescent="0.25">
      <c r="A20" s="2231" t="s">
        <v>1636</v>
      </c>
      <c r="B20" s="2232"/>
      <c r="C20" s="1622">
        <f>C8-C17</f>
        <v>79615</v>
      </c>
      <c r="D20" s="1622">
        <f t="shared" ref="D20:K20" si="5">D8-D17</f>
        <v>48377</v>
      </c>
      <c r="E20" s="1622">
        <f t="shared" si="5"/>
        <v>6432</v>
      </c>
      <c r="F20" s="1622">
        <f t="shared" si="5"/>
        <v>76077</v>
      </c>
      <c r="G20" s="1622">
        <f t="shared" si="5"/>
        <v>32897</v>
      </c>
      <c r="H20" s="1622">
        <f t="shared" si="5"/>
        <v>2</v>
      </c>
      <c r="I20" s="1622">
        <f t="shared" si="5"/>
        <v>112310</v>
      </c>
      <c r="J20" s="1622">
        <f t="shared" si="5"/>
        <v>-151191</v>
      </c>
      <c r="K20" s="1622">
        <f t="shared" si="5"/>
        <v>-72235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32172</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1746</v>
      </c>
      <c r="D36" s="1574">
        <v>0</v>
      </c>
      <c r="E36" s="1574">
        <v>0</v>
      </c>
      <c r="F36" s="1574">
        <v>30000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33918</v>
      </c>
      <c r="D44" s="1624">
        <f t="shared" ref="D44:K44" si="6">SUM(D24:D43)</f>
        <v>0</v>
      </c>
      <c r="E44" s="1624">
        <f t="shared" si="6"/>
        <v>0</v>
      </c>
      <c r="F44" s="1624">
        <f t="shared" si="6"/>
        <v>30000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32172</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32172</v>
      </c>
      <c r="J76" s="1624">
        <f t="shared" si="7"/>
        <v>0</v>
      </c>
      <c r="K76" s="1624">
        <f t="shared" si="7"/>
        <v>0</v>
      </c>
      <c r="L76" s="453"/>
    </row>
    <row r="77" spans="1:12" ht="14.25" thickTop="1" thickBot="1" x14ac:dyDescent="0.25">
      <c r="A77" s="2223" t="s">
        <v>1167</v>
      </c>
      <c r="B77" s="2224"/>
      <c r="C77" s="1624">
        <f t="shared" ref="C77:K77" si="8">C44-C76</f>
        <v>33918</v>
      </c>
      <c r="D77" s="1624">
        <f t="shared" si="8"/>
        <v>0</v>
      </c>
      <c r="E77" s="1624">
        <f t="shared" si="8"/>
        <v>0</v>
      </c>
      <c r="F77" s="1624">
        <f t="shared" si="8"/>
        <v>30000</v>
      </c>
      <c r="G77" s="1624">
        <f t="shared" si="8"/>
        <v>0</v>
      </c>
      <c r="H77" s="1624">
        <f t="shared" si="8"/>
        <v>0</v>
      </c>
      <c r="I77" s="1624">
        <f t="shared" si="8"/>
        <v>-32172</v>
      </c>
      <c r="J77" s="1624">
        <f t="shared" si="8"/>
        <v>0</v>
      </c>
      <c r="K77" s="1624">
        <f t="shared" si="8"/>
        <v>0</v>
      </c>
      <c r="L77" s="325"/>
    </row>
    <row r="78" spans="1:12" ht="21.75" customHeight="1" thickTop="1" thickBot="1" x14ac:dyDescent="0.25">
      <c r="A78" s="2227" t="s">
        <v>593</v>
      </c>
      <c r="B78" s="2228"/>
      <c r="C78" s="1629">
        <f t="shared" ref="C78:K78" si="9">C20+C77</f>
        <v>113533</v>
      </c>
      <c r="D78" s="1629">
        <f t="shared" si="9"/>
        <v>48377</v>
      </c>
      <c r="E78" s="1629">
        <f t="shared" si="9"/>
        <v>6432</v>
      </c>
      <c r="F78" s="1629">
        <f t="shared" si="9"/>
        <v>106077</v>
      </c>
      <c r="G78" s="1629">
        <f t="shared" si="9"/>
        <v>32897</v>
      </c>
      <c r="H78" s="1629">
        <f t="shared" si="9"/>
        <v>2</v>
      </c>
      <c r="I78" s="1629">
        <f t="shared" si="9"/>
        <v>80138</v>
      </c>
      <c r="J78" s="1629">
        <f t="shared" si="9"/>
        <v>-151191</v>
      </c>
      <c r="K78" s="1629">
        <f t="shared" si="9"/>
        <v>-72235</v>
      </c>
      <c r="L78" s="457"/>
    </row>
    <row r="79" spans="1:12" ht="13.5" thickTop="1" x14ac:dyDescent="0.2">
      <c r="A79" s="1844" t="str">
        <f>"Fund Balances - July 1, "&amp;'AFR20'!E2-1</f>
        <v>Fund Balances - July 1, 2019</v>
      </c>
      <c r="B79" s="458"/>
      <c r="C79" s="1583">
        <v>4874280</v>
      </c>
      <c r="D79" s="1583">
        <v>724255</v>
      </c>
      <c r="E79" s="1630">
        <v>119109</v>
      </c>
      <c r="F79" s="1630">
        <v>1181641</v>
      </c>
      <c r="G79" s="1630">
        <v>106337</v>
      </c>
      <c r="H79" s="1630">
        <v>5729</v>
      </c>
      <c r="I79" s="1630">
        <v>1738568</v>
      </c>
      <c r="J79" s="1630">
        <v>322977</v>
      </c>
      <c r="K79" s="1630">
        <v>281462</v>
      </c>
      <c r="L79" s="325"/>
    </row>
    <row r="80" spans="1:12" x14ac:dyDescent="0.2">
      <c r="A80" s="2233" t="s">
        <v>1771</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4987813</v>
      </c>
      <c r="D81" s="1594">
        <f>SUM(D78:D80)</f>
        <v>772632</v>
      </c>
      <c r="E81" s="1594">
        <f t="shared" ref="E81:K81" si="10">SUM(E78:E80)</f>
        <v>125541</v>
      </c>
      <c r="F81" s="1594">
        <f t="shared" si="10"/>
        <v>1287718</v>
      </c>
      <c r="G81" s="1594">
        <f t="shared" si="10"/>
        <v>139234</v>
      </c>
      <c r="H81" s="1594">
        <f t="shared" si="10"/>
        <v>5731</v>
      </c>
      <c r="I81" s="1594">
        <f t="shared" si="10"/>
        <v>1818706</v>
      </c>
      <c r="J81" s="1594">
        <f t="shared" si="10"/>
        <v>171786</v>
      </c>
      <c r="K81" s="1594">
        <f t="shared" si="10"/>
        <v>209227</v>
      </c>
      <c r="L81" s="325"/>
    </row>
    <row r="82" spans="1:12" ht="0.75" customHeight="1" thickTop="1" thickBot="1" x14ac:dyDescent="0.25">
      <c r="A82" s="459" t="s">
        <v>340</v>
      </c>
      <c r="B82" s="460"/>
      <c r="C82" s="461">
        <f>(C81-C79)</f>
        <v>113533</v>
      </c>
      <c r="D82" s="461">
        <f t="shared" ref="D82:K82" si="11">(D81-D79)</f>
        <v>48377</v>
      </c>
      <c r="E82" s="461">
        <f t="shared" si="11"/>
        <v>6432</v>
      </c>
      <c r="F82" s="461">
        <f t="shared" si="11"/>
        <v>106077</v>
      </c>
      <c r="G82" s="461">
        <f t="shared" si="11"/>
        <v>32897</v>
      </c>
      <c r="H82" s="461">
        <f t="shared" si="11"/>
        <v>2</v>
      </c>
      <c r="I82" s="461">
        <f t="shared" si="11"/>
        <v>80138</v>
      </c>
      <c r="J82" s="461">
        <f t="shared" si="11"/>
        <v>-151191</v>
      </c>
      <c r="K82" s="461">
        <f t="shared" si="11"/>
        <v>-72235</v>
      </c>
    </row>
    <row r="83" spans="1:12" ht="14.25" hidden="1" thickTop="1" thickBot="1" x14ac:dyDescent="0.25">
      <c r="A83" s="462" t="s">
        <v>341</v>
      </c>
      <c r="B83" s="428"/>
      <c r="C83" s="463">
        <f>C82/C81</f>
        <v>2.2762080294509837E-2</v>
      </c>
      <c r="D83" s="463">
        <f t="shared" ref="D83:K83" si="12">D82/D81</f>
        <v>6.2613249257084877E-2</v>
      </c>
      <c r="E83" s="463">
        <f t="shared" si="12"/>
        <v>5.1234258130809854E-2</v>
      </c>
      <c r="F83" s="463">
        <f t="shared" si="12"/>
        <v>8.2375954983932811E-2</v>
      </c>
      <c r="G83" s="463">
        <f t="shared" si="12"/>
        <v>0.23627131304135485</v>
      </c>
      <c r="H83" s="463">
        <f t="shared" si="12"/>
        <v>3.4897923573547375E-4</v>
      </c>
      <c r="I83" s="463">
        <f t="shared" si="12"/>
        <v>4.4063196580425866E-2</v>
      </c>
      <c r="J83" s="463">
        <f t="shared" si="12"/>
        <v>-0.88011246550941291</v>
      </c>
      <c r="K83" s="463">
        <f t="shared" si="12"/>
        <v>-0.34524702834720183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X21" sqref="X21:AA21"/>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4600031</v>
      </c>
      <c r="D5" s="1586">
        <v>799941</v>
      </c>
      <c r="E5" s="1573">
        <v>863085</v>
      </c>
      <c r="F5" s="1631">
        <v>299990</v>
      </c>
      <c r="G5" s="1573">
        <v>100007</v>
      </c>
      <c r="H5" s="1573">
        <v>0</v>
      </c>
      <c r="I5" s="1573">
        <v>80005</v>
      </c>
      <c r="J5" s="1574">
        <v>270043</v>
      </c>
      <c r="K5" s="1573">
        <v>80005</v>
      </c>
    </row>
    <row r="6" spans="1:12" ht="15" x14ac:dyDescent="0.2">
      <c r="A6" s="427" t="s">
        <v>1643</v>
      </c>
      <c r="B6" s="429">
        <v>1130</v>
      </c>
      <c r="C6" s="1573">
        <v>80005</v>
      </c>
      <c r="D6" s="1573">
        <v>0</v>
      </c>
      <c r="E6" s="1580"/>
      <c r="F6" s="1580"/>
      <c r="G6" s="1575"/>
      <c r="H6" s="1575"/>
      <c r="I6" s="1575"/>
      <c r="J6" s="1575"/>
      <c r="K6" s="1575"/>
    </row>
    <row r="7" spans="1:12" x14ac:dyDescent="0.2">
      <c r="A7" s="427" t="s">
        <v>110</v>
      </c>
      <c r="B7" s="471">
        <v>1140</v>
      </c>
      <c r="C7" s="1573">
        <v>65562</v>
      </c>
      <c r="D7" s="1573">
        <v>0</v>
      </c>
      <c r="E7" s="1575"/>
      <c r="F7" s="1574">
        <v>0</v>
      </c>
      <c r="G7" s="1574">
        <v>0</v>
      </c>
      <c r="H7" s="1574">
        <v>0</v>
      </c>
      <c r="I7" s="1575"/>
      <c r="J7" s="1575"/>
      <c r="K7" s="1575"/>
    </row>
    <row r="8" spans="1:12" x14ac:dyDescent="0.2">
      <c r="A8" s="427" t="s">
        <v>410</v>
      </c>
      <c r="B8" s="429">
        <v>1150</v>
      </c>
      <c r="C8" s="1580"/>
      <c r="D8" s="1580"/>
      <c r="E8" s="1582"/>
      <c r="F8" s="1582"/>
      <c r="G8" s="1586">
        <v>175017</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4745598</v>
      </c>
      <c r="D12" s="1633">
        <f t="shared" si="0"/>
        <v>799941</v>
      </c>
      <c r="E12" s="1633">
        <f t="shared" si="0"/>
        <v>863085</v>
      </c>
      <c r="F12" s="1633">
        <f t="shared" si="0"/>
        <v>299990</v>
      </c>
      <c r="G12" s="1633">
        <f t="shared" si="0"/>
        <v>275024</v>
      </c>
      <c r="H12" s="1633">
        <f t="shared" si="0"/>
        <v>0</v>
      </c>
      <c r="I12" s="1633">
        <f t="shared" si="0"/>
        <v>80005</v>
      </c>
      <c r="J12" s="1633">
        <f t="shared" si="0"/>
        <v>270043</v>
      </c>
      <c r="K12" s="1594">
        <f t="shared" si="0"/>
        <v>80005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3394</v>
      </c>
      <c r="D14" s="1573">
        <v>572</v>
      </c>
      <c r="E14" s="1573">
        <v>617</v>
      </c>
      <c r="F14" s="1573">
        <v>214</v>
      </c>
      <c r="G14" s="1573">
        <v>197</v>
      </c>
      <c r="H14" s="1573">
        <v>0</v>
      </c>
      <c r="I14" s="1573">
        <v>57</v>
      </c>
      <c r="J14" s="1574">
        <v>193</v>
      </c>
      <c r="K14" s="1573">
        <v>57</v>
      </c>
    </row>
    <row r="15" spans="1:12" ht="12.75" customHeight="1" x14ac:dyDescent="0.2">
      <c r="A15" s="427" t="s">
        <v>95</v>
      </c>
      <c r="B15" s="429">
        <v>1220</v>
      </c>
      <c r="C15" s="1632">
        <v>254</v>
      </c>
      <c r="D15" s="1573">
        <v>44</v>
      </c>
      <c r="E15" s="1573">
        <v>46</v>
      </c>
      <c r="F15" s="1573">
        <v>16</v>
      </c>
      <c r="G15" s="1573">
        <v>15</v>
      </c>
      <c r="H15" s="1573">
        <v>0</v>
      </c>
      <c r="I15" s="1573">
        <v>4</v>
      </c>
      <c r="J15" s="1574">
        <v>14</v>
      </c>
      <c r="K15" s="1573">
        <v>4</v>
      </c>
    </row>
    <row r="16" spans="1:12" ht="15" customHeight="1" x14ac:dyDescent="0.2">
      <c r="A16" s="427" t="s">
        <v>1644</v>
      </c>
      <c r="B16" s="471">
        <v>1230</v>
      </c>
      <c r="C16" s="1632">
        <v>1165188</v>
      </c>
      <c r="D16" s="1573">
        <v>0</v>
      </c>
      <c r="E16" s="1573">
        <v>0</v>
      </c>
      <c r="F16" s="1573">
        <v>0</v>
      </c>
      <c r="G16" s="1573">
        <v>11050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1168836</v>
      </c>
      <c r="D18" s="1635">
        <f t="shared" ref="D18:K18" si="1">SUM(D14:D17)</f>
        <v>616</v>
      </c>
      <c r="E18" s="1635">
        <f t="shared" si="1"/>
        <v>663</v>
      </c>
      <c r="F18" s="1635">
        <f t="shared" si="1"/>
        <v>230</v>
      </c>
      <c r="G18" s="1635">
        <f t="shared" si="1"/>
        <v>11262</v>
      </c>
      <c r="H18" s="1635">
        <f t="shared" si="1"/>
        <v>0</v>
      </c>
      <c r="I18" s="1635">
        <f t="shared" si="1"/>
        <v>61</v>
      </c>
      <c r="J18" s="1635">
        <f t="shared" si="1"/>
        <v>207</v>
      </c>
      <c r="K18" s="1636">
        <f t="shared" si="1"/>
        <v>61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5992</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5992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117365</v>
      </c>
      <c r="D65" s="1573">
        <v>14893</v>
      </c>
      <c r="E65" s="1573">
        <v>7659</v>
      </c>
      <c r="F65" s="1574">
        <v>18478</v>
      </c>
      <c r="G65" s="1573">
        <v>2324</v>
      </c>
      <c r="H65" s="1573">
        <v>2</v>
      </c>
      <c r="I65" s="1573">
        <v>32244</v>
      </c>
      <c r="J65" s="1574">
        <v>5099</v>
      </c>
      <c r="K65" s="1573">
        <v>2759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117365</v>
      </c>
      <c r="D67" s="1594">
        <f t="shared" ref="D67:K67" si="2">SUM(D65:D66)</f>
        <v>14893</v>
      </c>
      <c r="E67" s="1594">
        <f t="shared" si="2"/>
        <v>7659</v>
      </c>
      <c r="F67" s="1594">
        <f t="shared" si="2"/>
        <v>18478</v>
      </c>
      <c r="G67" s="1594">
        <f t="shared" si="2"/>
        <v>2324</v>
      </c>
      <c r="H67" s="1594">
        <f t="shared" si="2"/>
        <v>2</v>
      </c>
      <c r="I67" s="1594">
        <f t="shared" si="2"/>
        <v>32244</v>
      </c>
      <c r="J67" s="1594">
        <f t="shared" si="2"/>
        <v>5099</v>
      </c>
      <c r="K67" s="1594">
        <f t="shared" si="2"/>
        <v>2759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88616</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9839</v>
      </c>
      <c r="D73" s="1575"/>
      <c r="E73" s="1575"/>
      <c r="F73" s="1575"/>
      <c r="G73" s="1575"/>
      <c r="H73" s="1575"/>
      <c r="I73" s="1575"/>
      <c r="J73" s="1575"/>
      <c r="K73" s="1575"/>
    </row>
    <row r="74" spans="1:11" ht="12.75" customHeight="1" x14ac:dyDescent="0.2">
      <c r="A74" s="427" t="s">
        <v>25</v>
      </c>
      <c r="B74" s="429">
        <v>1690</v>
      </c>
      <c r="C74" s="1632">
        <v>3304</v>
      </c>
      <c r="D74" s="1575"/>
      <c r="E74" s="1575"/>
      <c r="F74" s="1575"/>
      <c r="G74" s="1575"/>
      <c r="H74" s="1575"/>
      <c r="I74" s="1575"/>
      <c r="J74" s="1575"/>
      <c r="K74" s="1575"/>
    </row>
    <row r="75" spans="1:11" ht="12.75" customHeight="1" thickBot="1" x14ac:dyDescent="0.25">
      <c r="A75" s="1406" t="s">
        <v>544</v>
      </c>
      <c r="B75" s="1407"/>
      <c r="C75" s="1594">
        <f>SUM(C69:C74)</f>
        <v>101759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14759</v>
      </c>
      <c r="D77" s="1573">
        <v>0</v>
      </c>
      <c r="E77" s="1575"/>
      <c r="F77" s="1575"/>
      <c r="G77" s="1575"/>
      <c r="H77" s="1575"/>
      <c r="I77" s="1575"/>
      <c r="J77" s="1575"/>
      <c r="K77" s="1575"/>
    </row>
    <row r="78" spans="1:11" ht="12.75" customHeight="1" x14ac:dyDescent="0.2">
      <c r="A78" s="427" t="s">
        <v>76</v>
      </c>
      <c r="B78" s="429">
        <v>1719</v>
      </c>
      <c r="C78" s="1632">
        <v>995</v>
      </c>
      <c r="D78" s="1573">
        <v>0</v>
      </c>
      <c r="E78" s="1575"/>
      <c r="F78" s="1575"/>
      <c r="G78" s="1575"/>
      <c r="H78" s="1575"/>
      <c r="I78" s="1575"/>
      <c r="J78" s="1575"/>
      <c r="K78" s="1575"/>
    </row>
    <row r="79" spans="1:11" ht="12.75" customHeight="1" x14ac:dyDescent="0.2">
      <c r="A79" s="427" t="s">
        <v>546</v>
      </c>
      <c r="B79" s="429">
        <v>1720</v>
      </c>
      <c r="C79" s="1632">
        <v>21029</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20</v>
      </c>
      <c r="D81" s="1573">
        <v>0</v>
      </c>
      <c r="E81" s="1575"/>
      <c r="F81" s="1575"/>
      <c r="G81" s="1575"/>
      <c r="H81" s="1575"/>
      <c r="I81" s="1575"/>
      <c r="J81" s="1575"/>
      <c r="K81" s="1575"/>
    </row>
    <row r="82" spans="1:11" ht="12.75" customHeight="1" thickBot="1" x14ac:dyDescent="0.25">
      <c r="A82" s="1406" t="s">
        <v>239</v>
      </c>
      <c r="B82" s="1407"/>
      <c r="C82" s="1633">
        <f>SUM(C77:C81)</f>
        <v>36803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16042</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1360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17402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85</v>
      </c>
      <c r="D95" s="1632">
        <v>0</v>
      </c>
      <c r="E95" s="1617"/>
      <c r="F95" s="1617"/>
      <c r="G95" s="1617"/>
      <c r="H95" s="1617"/>
      <c r="I95" s="1617"/>
      <c r="J95" s="1617"/>
      <c r="K95" s="1617"/>
    </row>
    <row r="96" spans="1:11" ht="12.75" customHeight="1" x14ac:dyDescent="0.2">
      <c r="A96" s="427" t="s">
        <v>388</v>
      </c>
      <c r="B96" s="429">
        <v>1920</v>
      </c>
      <c r="C96" s="1632">
        <v>308</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6894</v>
      </c>
      <c r="D98" s="1573">
        <v>0</v>
      </c>
      <c r="E98" s="1612"/>
      <c r="F98" s="1573">
        <v>0</v>
      </c>
      <c r="G98" s="1612"/>
      <c r="H98" s="1612"/>
      <c r="I98" s="1610"/>
      <c r="J98" s="1612"/>
      <c r="K98" s="1612"/>
    </row>
    <row r="99" spans="1:12" ht="12.75" customHeight="1" x14ac:dyDescent="0.2">
      <c r="A99" s="427" t="s">
        <v>816</v>
      </c>
      <c r="B99" s="429">
        <v>1950</v>
      </c>
      <c r="C99" s="1598">
        <v>37073</v>
      </c>
      <c r="D99" s="1573">
        <v>0</v>
      </c>
      <c r="E99" s="1573">
        <v>0</v>
      </c>
      <c r="F99" s="1573">
        <v>0</v>
      </c>
      <c r="G99" s="1573">
        <v>0</v>
      </c>
      <c r="H99" s="1573">
        <v>0</v>
      </c>
      <c r="I99" s="1575"/>
      <c r="J99" s="1574">
        <v>3162</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4438</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15571</v>
      </c>
      <c r="D107" s="1573">
        <v>6037</v>
      </c>
      <c r="E107" s="1573">
        <v>0</v>
      </c>
      <c r="F107" s="1573">
        <v>2498</v>
      </c>
      <c r="G107" s="1573">
        <v>0</v>
      </c>
      <c r="H107" s="1573">
        <v>0</v>
      </c>
      <c r="I107" s="1573">
        <v>0</v>
      </c>
      <c r="J107" s="1574">
        <v>728</v>
      </c>
      <c r="K107" s="1573">
        <v>0</v>
      </c>
    </row>
    <row r="108" spans="1:12" ht="12.75" customHeight="1" thickBot="1" x14ac:dyDescent="0.25">
      <c r="A108" s="1406" t="s">
        <v>484</v>
      </c>
      <c r="B108" s="1408"/>
      <c r="C108" s="1633">
        <f>SUM(C95:C107)</f>
        <v>64369</v>
      </c>
      <c r="D108" s="1633">
        <f t="shared" ref="D108:K108" si="3">SUM(D95:D107)</f>
        <v>6037</v>
      </c>
      <c r="E108" s="1633">
        <f t="shared" si="3"/>
        <v>0</v>
      </c>
      <c r="F108" s="1633">
        <f t="shared" si="3"/>
        <v>2498</v>
      </c>
      <c r="G108" s="1633">
        <f t="shared" si="3"/>
        <v>0</v>
      </c>
      <c r="H108" s="1633">
        <f t="shared" si="3"/>
        <v>0</v>
      </c>
      <c r="I108" s="1633">
        <f t="shared" si="3"/>
        <v>0</v>
      </c>
      <c r="J108" s="1633">
        <f t="shared" si="3"/>
        <v>3890</v>
      </c>
      <c r="K108" s="1594">
        <f t="shared" si="3"/>
        <v>0</v>
      </c>
    </row>
    <row r="109" spans="1:12" ht="14.25" thickTop="1" thickBot="1" x14ac:dyDescent="0.25">
      <c r="A109" s="1409" t="s">
        <v>246</v>
      </c>
      <c r="B109" s="1410" t="s">
        <v>566</v>
      </c>
      <c r="C109" s="1641">
        <f t="shared" ref="C109:K109" si="4">SUM(C12,C18,C40,C63,C67,C75,C82,C93,C108,)</f>
        <v>6258124</v>
      </c>
      <c r="D109" s="1641">
        <f t="shared" si="4"/>
        <v>821487</v>
      </c>
      <c r="E109" s="1641">
        <f t="shared" si="4"/>
        <v>871407</v>
      </c>
      <c r="F109" s="1641">
        <f t="shared" si="4"/>
        <v>321196</v>
      </c>
      <c r="G109" s="1641">
        <f t="shared" si="4"/>
        <v>288610</v>
      </c>
      <c r="H109" s="1641">
        <f t="shared" si="4"/>
        <v>2</v>
      </c>
      <c r="I109" s="1641">
        <f t="shared" si="4"/>
        <v>112310</v>
      </c>
      <c r="J109" s="1641">
        <f t="shared" si="4"/>
        <v>279239</v>
      </c>
      <c r="K109" s="1629">
        <f t="shared" si="4"/>
        <v>82825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868172</v>
      </c>
      <c r="D117" s="1586">
        <v>0</v>
      </c>
      <c r="E117" s="1573">
        <v>0</v>
      </c>
      <c r="F117" s="1586">
        <v>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868172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74108</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38183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750</v>
      </c>
      <c r="D131" s="1574">
        <v>0</v>
      </c>
      <c r="E131" s="1575"/>
      <c r="F131" s="1573">
        <v>0</v>
      </c>
      <c r="G131" s="1575"/>
      <c r="H131" s="1575"/>
      <c r="I131" s="1575"/>
      <c r="J131" s="1575"/>
      <c r="K131" s="1575"/>
    </row>
    <row r="132" spans="1:11" ht="12.75" customHeight="1" thickBot="1" x14ac:dyDescent="0.25">
      <c r="A132" s="1406" t="s">
        <v>1025</v>
      </c>
      <c r="B132" s="1414"/>
      <c r="C132" s="1633">
        <f>SUM(C125:C131)</f>
        <v>113041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4738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16696</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21434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1258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6522</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262871</v>
      </c>
      <c r="G152" s="1574">
        <v>0</v>
      </c>
      <c r="H152" s="1575"/>
      <c r="I152" s="1575"/>
      <c r="J152" s="1575"/>
      <c r="K152" s="1575"/>
    </row>
    <row r="153" spans="1:11" ht="12.75" customHeight="1" x14ac:dyDescent="0.2">
      <c r="A153" s="427" t="s">
        <v>1048</v>
      </c>
      <c r="B153" s="478">
        <v>3510</v>
      </c>
      <c r="C153" s="1632">
        <v>0</v>
      </c>
      <c r="D153" s="1573">
        <v>0</v>
      </c>
      <c r="E153" s="1640"/>
      <c r="F153" s="1573">
        <v>97350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360221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142255</v>
      </c>
      <c r="D169" s="1658">
        <f t="shared" si="6"/>
        <v>50000</v>
      </c>
      <c r="E169" s="1658">
        <f t="shared" si="6"/>
        <v>0</v>
      </c>
      <c r="F169" s="1658">
        <f t="shared" si="6"/>
        <v>360221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1010427</v>
      </c>
      <c r="D170" s="1641">
        <f t="shared" si="7"/>
        <v>50000</v>
      </c>
      <c r="E170" s="1641">
        <f t="shared" si="7"/>
        <v>0</v>
      </c>
      <c r="F170" s="1641">
        <f t="shared" si="7"/>
        <v>360221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61224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16906</v>
      </c>
      <c r="D193" s="1575"/>
      <c r="E193" s="1640"/>
      <c r="F193" s="1575"/>
      <c r="G193" s="1664">
        <v>0</v>
      </c>
      <c r="H193" s="1575"/>
      <c r="I193" s="1575"/>
      <c r="J193" s="1575"/>
      <c r="K193" s="1575"/>
    </row>
    <row r="194" spans="1:11" ht="12.75" customHeight="1" x14ac:dyDescent="0.2">
      <c r="A194" s="427" t="s">
        <v>1434</v>
      </c>
      <c r="B194" s="429">
        <v>4225</v>
      </c>
      <c r="C194" s="1632">
        <v>23161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101291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92129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92129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2594</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88453</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91047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360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360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21743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16600</v>
      </c>
      <c r="D263" s="1651">
        <v>0</v>
      </c>
      <c r="E263" s="1575"/>
      <c r="F263" s="1651">
        <v>0</v>
      </c>
      <c r="G263" s="1651">
        <v>0</v>
      </c>
      <c r="H263" s="1575"/>
      <c r="I263" s="1575"/>
      <c r="J263" s="1575"/>
      <c r="K263" s="1575"/>
    </row>
    <row r="264" spans="1:11" ht="12.75" customHeight="1" thickTop="1" thickBot="1" x14ac:dyDescent="0.25">
      <c r="A264" s="427" t="s">
        <v>374</v>
      </c>
      <c r="B264" s="429">
        <v>4992</v>
      </c>
      <c r="C264" s="1650">
        <v>19495</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342665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342665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7611216</v>
      </c>
      <c r="D268" s="1641">
        <f t="shared" si="12"/>
        <v>871487</v>
      </c>
      <c r="E268" s="1641">
        <f t="shared" si="12"/>
        <v>871407</v>
      </c>
      <c r="F268" s="1641">
        <f t="shared" si="12"/>
        <v>681417</v>
      </c>
      <c r="G268" s="1641">
        <f t="shared" si="12"/>
        <v>288610</v>
      </c>
      <c r="H268" s="1641">
        <f t="shared" si="12"/>
        <v>2</v>
      </c>
      <c r="I268" s="1641">
        <f t="shared" si="12"/>
        <v>112310</v>
      </c>
      <c r="J268" s="1641">
        <f t="shared" si="12"/>
        <v>279239</v>
      </c>
      <c r="K268" s="1629">
        <f t="shared" si="12"/>
        <v>82825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X21" sqref="X21:AA2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3333464</v>
      </c>
      <c r="D5" s="1573">
        <v>299576</v>
      </c>
      <c r="E5" s="1573">
        <v>68358</v>
      </c>
      <c r="F5" s="1573">
        <v>84274</v>
      </c>
      <c r="G5" s="1573">
        <v>8217</v>
      </c>
      <c r="H5" s="1573">
        <v>783</v>
      </c>
      <c r="I5" s="1574">
        <v>785</v>
      </c>
      <c r="J5" s="1574">
        <v>0</v>
      </c>
      <c r="K5" s="1672">
        <f>SUM(C5:J5)</f>
        <v>3795457</v>
      </c>
      <c r="L5" s="1573">
        <v>3623707</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20401</v>
      </c>
      <c r="D7" s="1574">
        <v>7035</v>
      </c>
      <c r="E7" s="1574">
        <v>0</v>
      </c>
      <c r="F7" s="1574">
        <v>2604</v>
      </c>
      <c r="G7" s="1574">
        <v>0</v>
      </c>
      <c r="H7" s="1574">
        <v>0</v>
      </c>
      <c r="I7" s="1574">
        <v>0</v>
      </c>
      <c r="J7" s="1574">
        <v>0</v>
      </c>
      <c r="K7" s="1672">
        <f t="shared" ref="K7:K32" si="0">SUM(C7:J7)</f>
        <v>30040</v>
      </c>
      <c r="L7" s="1573">
        <v>36100</v>
      </c>
    </row>
    <row r="8" spans="1:14" x14ac:dyDescent="0.2">
      <c r="A8" s="1274" t="s">
        <v>163</v>
      </c>
      <c r="B8" s="503">
        <v>1200</v>
      </c>
      <c r="C8" s="1573">
        <v>594230</v>
      </c>
      <c r="D8" s="1573">
        <v>50104</v>
      </c>
      <c r="E8" s="1573">
        <v>3294</v>
      </c>
      <c r="F8" s="1573">
        <v>10186</v>
      </c>
      <c r="G8" s="1573">
        <v>6167</v>
      </c>
      <c r="H8" s="1573">
        <v>0</v>
      </c>
      <c r="I8" s="1574">
        <v>0</v>
      </c>
      <c r="J8" s="1574">
        <v>0</v>
      </c>
      <c r="K8" s="1672">
        <f t="shared" si="0"/>
        <v>663981</v>
      </c>
      <c r="L8" s="1573">
        <v>868900</v>
      </c>
    </row>
    <row r="9" spans="1:14" x14ac:dyDescent="0.2">
      <c r="A9" s="1274" t="s">
        <v>716</v>
      </c>
      <c r="B9" s="503" t="s">
        <v>962</v>
      </c>
      <c r="C9" s="1574">
        <v>27405</v>
      </c>
      <c r="D9" s="1574">
        <v>447</v>
      </c>
      <c r="E9" s="1574">
        <v>0</v>
      </c>
      <c r="F9" s="1574">
        <v>2890</v>
      </c>
      <c r="G9" s="1574">
        <v>0</v>
      </c>
      <c r="H9" s="1574">
        <v>40877</v>
      </c>
      <c r="I9" s="1574">
        <v>0</v>
      </c>
      <c r="J9" s="1574">
        <v>0</v>
      </c>
      <c r="K9" s="1672">
        <f t="shared" si="0"/>
        <v>71619</v>
      </c>
      <c r="L9" s="1573">
        <v>66100</v>
      </c>
    </row>
    <row r="10" spans="1:14" x14ac:dyDescent="0.2">
      <c r="A10" s="1274" t="s">
        <v>717</v>
      </c>
      <c r="B10" s="503">
        <v>1250</v>
      </c>
      <c r="C10" s="1573">
        <v>42631</v>
      </c>
      <c r="D10" s="1573">
        <v>61</v>
      </c>
      <c r="E10" s="1573">
        <v>911</v>
      </c>
      <c r="F10" s="1573">
        <v>11826</v>
      </c>
      <c r="G10" s="1573">
        <v>0</v>
      </c>
      <c r="H10" s="1573">
        <v>0</v>
      </c>
      <c r="I10" s="1574">
        <v>0</v>
      </c>
      <c r="J10" s="1574">
        <v>0</v>
      </c>
      <c r="K10" s="1672">
        <f t="shared" si="0"/>
        <v>55429</v>
      </c>
      <c r="L10" s="1573">
        <v>141735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162271</v>
      </c>
      <c r="D13" s="1573">
        <v>9687</v>
      </c>
      <c r="E13" s="1573">
        <v>171</v>
      </c>
      <c r="F13" s="1573">
        <v>6011</v>
      </c>
      <c r="G13" s="1573">
        <v>539</v>
      </c>
      <c r="H13" s="1573">
        <v>175</v>
      </c>
      <c r="I13" s="1574">
        <v>0</v>
      </c>
      <c r="J13" s="1574">
        <v>0</v>
      </c>
      <c r="K13" s="1672">
        <f t="shared" si="0"/>
        <v>178854</v>
      </c>
      <c r="L13" s="1573">
        <v>182620</v>
      </c>
    </row>
    <row r="14" spans="1:14" x14ac:dyDescent="0.2">
      <c r="A14" s="1274" t="s">
        <v>957</v>
      </c>
      <c r="B14" s="503">
        <v>1500</v>
      </c>
      <c r="C14" s="1573">
        <v>117368</v>
      </c>
      <c r="D14" s="1573">
        <v>1152</v>
      </c>
      <c r="E14" s="1573">
        <v>27789</v>
      </c>
      <c r="F14" s="1573">
        <v>25498</v>
      </c>
      <c r="G14" s="1573">
        <v>0</v>
      </c>
      <c r="H14" s="1573">
        <v>5830</v>
      </c>
      <c r="I14" s="1574">
        <v>0</v>
      </c>
      <c r="J14" s="1574">
        <v>0</v>
      </c>
      <c r="K14" s="1672">
        <f t="shared" si="0"/>
        <v>177637</v>
      </c>
      <c r="L14" s="1573">
        <v>205700</v>
      </c>
    </row>
    <row r="15" spans="1:14" x14ac:dyDescent="0.2">
      <c r="A15" s="1274" t="s">
        <v>958</v>
      </c>
      <c r="B15" s="503">
        <v>1600</v>
      </c>
      <c r="C15" s="1573">
        <v>2640</v>
      </c>
      <c r="D15" s="1573">
        <v>321</v>
      </c>
      <c r="E15" s="1573">
        <v>0</v>
      </c>
      <c r="F15" s="1573">
        <v>0</v>
      </c>
      <c r="G15" s="1573">
        <v>0</v>
      </c>
      <c r="H15" s="1573">
        <v>0</v>
      </c>
      <c r="I15" s="1574">
        <v>0</v>
      </c>
      <c r="J15" s="1574">
        <v>0</v>
      </c>
      <c r="K15" s="1672">
        <f t="shared" si="0"/>
        <v>2961</v>
      </c>
      <c r="L15" s="1573">
        <v>12677</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46679</v>
      </c>
      <c r="D17" s="1574">
        <v>2935</v>
      </c>
      <c r="E17" s="1574">
        <v>6225</v>
      </c>
      <c r="F17" s="1574">
        <v>692</v>
      </c>
      <c r="G17" s="1574">
        <v>0</v>
      </c>
      <c r="H17" s="1574">
        <v>0</v>
      </c>
      <c r="I17" s="1574">
        <v>0</v>
      </c>
      <c r="J17" s="1574">
        <v>0</v>
      </c>
      <c r="K17" s="1672">
        <f t="shared" si="0"/>
        <v>56531</v>
      </c>
      <c r="L17" s="1573">
        <v>54420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221867</v>
      </c>
      <c r="I22" s="1673"/>
      <c r="J22" s="1582"/>
      <c r="K22" s="1672">
        <f t="shared" si="0"/>
        <v>221867</v>
      </c>
      <c r="L22" s="1577">
        <v>190000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4347089</v>
      </c>
      <c r="D33" s="1674">
        <f t="shared" ref="D33:L33" si="1">SUM(D5:D32)</f>
        <v>371318</v>
      </c>
      <c r="E33" s="1674">
        <f t="shared" si="1"/>
        <v>106748</v>
      </c>
      <c r="F33" s="1674">
        <f t="shared" si="1"/>
        <v>143981</v>
      </c>
      <c r="G33" s="1674">
        <f t="shared" si="1"/>
        <v>14923</v>
      </c>
      <c r="H33" s="1674">
        <f t="shared" si="1"/>
        <v>269532</v>
      </c>
      <c r="I33" s="1674">
        <f t="shared" si="1"/>
        <v>785</v>
      </c>
      <c r="J33" s="1674">
        <f t="shared" si="1"/>
        <v>0</v>
      </c>
      <c r="K33" s="1674">
        <f t="shared" si="1"/>
        <v>5254376</v>
      </c>
      <c r="L33" s="1674">
        <f t="shared" si="1"/>
        <v>5381959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51667</v>
      </c>
      <c r="D36" s="1586">
        <v>939</v>
      </c>
      <c r="E36" s="1586">
        <v>546</v>
      </c>
      <c r="F36" s="1586">
        <v>0</v>
      </c>
      <c r="G36" s="1586">
        <v>0</v>
      </c>
      <c r="H36" s="1586">
        <v>0</v>
      </c>
      <c r="I36" s="1574">
        <v>0</v>
      </c>
      <c r="J36" s="1574">
        <v>0</v>
      </c>
      <c r="K36" s="1672">
        <f t="shared" ref="K36:K41" si="2">SUM(C36:J36)</f>
        <v>53152</v>
      </c>
      <c r="L36" s="1573">
        <v>64675</v>
      </c>
    </row>
    <row r="37" spans="1:14" x14ac:dyDescent="0.2">
      <c r="A37" s="1274" t="s">
        <v>1081</v>
      </c>
      <c r="B37" s="503">
        <v>2120</v>
      </c>
      <c r="C37" s="1573">
        <v>123807</v>
      </c>
      <c r="D37" s="1573">
        <v>14401</v>
      </c>
      <c r="E37" s="1573">
        <v>169</v>
      </c>
      <c r="F37" s="1573">
        <v>1825</v>
      </c>
      <c r="G37" s="1573">
        <v>0</v>
      </c>
      <c r="H37" s="1573">
        <v>65</v>
      </c>
      <c r="I37" s="1574">
        <v>0</v>
      </c>
      <c r="J37" s="1574">
        <v>0</v>
      </c>
      <c r="K37" s="1672">
        <f t="shared" si="2"/>
        <v>140267</v>
      </c>
      <c r="L37" s="1573">
        <v>143840</v>
      </c>
    </row>
    <row r="38" spans="1:14" x14ac:dyDescent="0.2">
      <c r="A38" s="1274" t="s">
        <v>196</v>
      </c>
      <c r="B38" s="503">
        <v>2130</v>
      </c>
      <c r="C38" s="1573">
        <v>49962</v>
      </c>
      <c r="D38" s="1573">
        <v>718</v>
      </c>
      <c r="E38" s="1573">
        <v>504</v>
      </c>
      <c r="F38" s="1573">
        <v>2603</v>
      </c>
      <c r="G38" s="1573">
        <v>0</v>
      </c>
      <c r="H38" s="1573">
        <v>122</v>
      </c>
      <c r="I38" s="1573">
        <v>0</v>
      </c>
      <c r="J38" s="1573">
        <v>0</v>
      </c>
      <c r="K38" s="1672">
        <f t="shared" si="2"/>
        <v>53909</v>
      </c>
      <c r="L38" s="1573">
        <v>48715</v>
      </c>
    </row>
    <row r="39" spans="1:14" x14ac:dyDescent="0.2">
      <c r="A39" s="1274" t="s">
        <v>197</v>
      </c>
      <c r="B39" s="503">
        <v>2140</v>
      </c>
      <c r="C39" s="1573">
        <v>0</v>
      </c>
      <c r="D39" s="1573">
        <v>0</v>
      </c>
      <c r="E39" s="1573">
        <v>21366</v>
      </c>
      <c r="F39" s="1573">
        <v>0</v>
      </c>
      <c r="G39" s="1573">
        <v>0</v>
      </c>
      <c r="H39" s="1573">
        <v>0</v>
      </c>
      <c r="I39" s="1574">
        <v>0</v>
      </c>
      <c r="J39" s="1574">
        <v>0</v>
      </c>
      <c r="K39" s="1672">
        <f t="shared" si="2"/>
        <v>21366</v>
      </c>
      <c r="L39" s="1573">
        <v>30100</v>
      </c>
    </row>
    <row r="40" spans="1:14" x14ac:dyDescent="0.2">
      <c r="A40" s="1274" t="s">
        <v>198</v>
      </c>
      <c r="B40" s="503">
        <v>2150</v>
      </c>
      <c r="C40" s="1573">
        <v>85227</v>
      </c>
      <c r="D40" s="1573">
        <v>1323</v>
      </c>
      <c r="E40" s="1573">
        <v>2182</v>
      </c>
      <c r="F40" s="1573">
        <v>0</v>
      </c>
      <c r="G40" s="1573">
        <v>0</v>
      </c>
      <c r="H40" s="1573">
        <v>253</v>
      </c>
      <c r="I40" s="1574">
        <v>0</v>
      </c>
      <c r="J40" s="1574">
        <v>0</v>
      </c>
      <c r="K40" s="1672">
        <f t="shared" si="2"/>
        <v>88985</v>
      </c>
      <c r="L40" s="1573">
        <v>96810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310663</v>
      </c>
      <c r="D42" s="1674">
        <f t="shared" ref="D42:L42" si="3">SUM(D36:D41)</f>
        <v>17381</v>
      </c>
      <c r="E42" s="1674">
        <f t="shared" si="3"/>
        <v>24767</v>
      </c>
      <c r="F42" s="1674">
        <f t="shared" si="3"/>
        <v>4428</v>
      </c>
      <c r="G42" s="1674">
        <f t="shared" si="3"/>
        <v>0</v>
      </c>
      <c r="H42" s="1674">
        <f t="shared" si="3"/>
        <v>440</v>
      </c>
      <c r="I42" s="1674">
        <f t="shared" si="3"/>
        <v>0</v>
      </c>
      <c r="J42" s="1674">
        <f t="shared" si="3"/>
        <v>0</v>
      </c>
      <c r="K42" s="1674">
        <f t="shared" si="3"/>
        <v>357679</v>
      </c>
      <c r="L42" s="1674">
        <f t="shared" si="3"/>
        <v>384140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4320</v>
      </c>
      <c r="D44" s="1586">
        <v>488</v>
      </c>
      <c r="E44" s="1586">
        <v>8628</v>
      </c>
      <c r="F44" s="1586">
        <v>0</v>
      </c>
      <c r="G44" s="1586">
        <v>0</v>
      </c>
      <c r="H44" s="1586">
        <v>0</v>
      </c>
      <c r="I44" s="1574">
        <v>0</v>
      </c>
      <c r="J44" s="1574">
        <v>0</v>
      </c>
      <c r="K44" s="1678">
        <f>SUM(C44:J44)</f>
        <v>13436</v>
      </c>
      <c r="L44" s="1586">
        <v>28011</v>
      </c>
    </row>
    <row r="45" spans="1:14" x14ac:dyDescent="0.2">
      <c r="A45" s="1274" t="s">
        <v>810</v>
      </c>
      <c r="B45" s="503">
        <v>2220</v>
      </c>
      <c r="C45" s="1573">
        <v>153788</v>
      </c>
      <c r="D45" s="1573">
        <v>15795</v>
      </c>
      <c r="E45" s="1573">
        <v>158163</v>
      </c>
      <c r="F45" s="1573">
        <v>85149</v>
      </c>
      <c r="G45" s="1573">
        <v>4283</v>
      </c>
      <c r="H45" s="1573">
        <v>287</v>
      </c>
      <c r="I45" s="1574">
        <v>29656</v>
      </c>
      <c r="J45" s="1574">
        <v>0</v>
      </c>
      <c r="K45" s="1678">
        <f>SUM(C45:J45)</f>
        <v>447121</v>
      </c>
      <c r="L45" s="1573">
        <v>497880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1127</v>
      </c>
    </row>
    <row r="47" spans="1:14" ht="12.75" customHeight="1" thickBot="1" x14ac:dyDescent="0.25">
      <c r="A47" s="1380" t="s">
        <v>557</v>
      </c>
      <c r="B47" s="1381" t="s">
        <v>32</v>
      </c>
      <c r="C47" s="1674">
        <f>SUM(C44:C46)</f>
        <v>158108</v>
      </c>
      <c r="D47" s="1674">
        <f t="shared" ref="D47:K47" si="4">SUM(D44:D46)</f>
        <v>16283</v>
      </c>
      <c r="E47" s="1674">
        <f t="shared" si="4"/>
        <v>166791</v>
      </c>
      <c r="F47" s="1674">
        <f t="shared" si="4"/>
        <v>85149</v>
      </c>
      <c r="G47" s="1674">
        <f t="shared" si="4"/>
        <v>4283</v>
      </c>
      <c r="H47" s="1674">
        <f t="shared" si="4"/>
        <v>287</v>
      </c>
      <c r="I47" s="1674">
        <f t="shared" si="4"/>
        <v>29656</v>
      </c>
      <c r="J47" s="1674">
        <f t="shared" si="4"/>
        <v>0</v>
      </c>
      <c r="K47" s="1674">
        <f t="shared" si="4"/>
        <v>460557</v>
      </c>
      <c r="L47" s="1674">
        <f>SUM(L44:L46)</f>
        <v>527018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5950</v>
      </c>
      <c r="D49" s="1586">
        <v>0</v>
      </c>
      <c r="E49" s="1586">
        <v>21436</v>
      </c>
      <c r="F49" s="1586">
        <v>537</v>
      </c>
      <c r="G49" s="1586">
        <v>0</v>
      </c>
      <c r="H49" s="1586">
        <v>4660</v>
      </c>
      <c r="I49" s="1574">
        <v>0</v>
      </c>
      <c r="J49" s="1574">
        <v>0</v>
      </c>
      <c r="K49" s="1678">
        <f>SUM(C49:J49)</f>
        <v>32583</v>
      </c>
      <c r="L49" s="1586">
        <v>30200</v>
      </c>
    </row>
    <row r="50" spans="1:14" x14ac:dyDescent="0.2">
      <c r="A50" s="1274" t="s">
        <v>813</v>
      </c>
      <c r="B50" s="503">
        <v>2320</v>
      </c>
      <c r="C50" s="1574">
        <v>112136</v>
      </c>
      <c r="D50" s="1573">
        <v>41281</v>
      </c>
      <c r="E50" s="1573">
        <v>8966</v>
      </c>
      <c r="F50" s="1573">
        <v>1842</v>
      </c>
      <c r="G50" s="1573">
        <v>0</v>
      </c>
      <c r="H50" s="1573">
        <v>1687</v>
      </c>
      <c r="I50" s="1574">
        <v>0</v>
      </c>
      <c r="J50" s="1574">
        <v>0</v>
      </c>
      <c r="K50" s="1678">
        <f>SUM(C50:J50)</f>
        <v>165912</v>
      </c>
      <c r="L50" s="1573">
        <v>168285</v>
      </c>
    </row>
    <row r="51" spans="1:14" x14ac:dyDescent="0.2">
      <c r="A51" s="1274" t="s">
        <v>42</v>
      </c>
      <c r="B51" s="503">
        <v>2330</v>
      </c>
      <c r="C51" s="1573">
        <v>56250</v>
      </c>
      <c r="D51" s="1573">
        <v>32943</v>
      </c>
      <c r="E51" s="1573">
        <v>937</v>
      </c>
      <c r="F51" s="1573">
        <v>0</v>
      </c>
      <c r="G51" s="1573">
        <v>0</v>
      </c>
      <c r="H51" s="1573">
        <v>299</v>
      </c>
      <c r="I51" s="1574">
        <v>0</v>
      </c>
      <c r="J51" s="1574">
        <v>0</v>
      </c>
      <c r="K51" s="1678">
        <f>SUM(C51:J51)</f>
        <v>90429</v>
      </c>
      <c r="L51" s="1573">
        <v>2800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174336</v>
      </c>
      <c r="D53" s="1674">
        <f t="shared" ref="D53:L53" si="5">SUM(D49:D52)</f>
        <v>74224</v>
      </c>
      <c r="E53" s="1674">
        <f t="shared" si="5"/>
        <v>31339</v>
      </c>
      <c r="F53" s="1674">
        <f t="shared" si="5"/>
        <v>2379</v>
      </c>
      <c r="G53" s="1674">
        <f t="shared" si="5"/>
        <v>0</v>
      </c>
      <c r="H53" s="1674">
        <f t="shared" si="5"/>
        <v>6646</v>
      </c>
      <c r="I53" s="1674">
        <f t="shared" si="5"/>
        <v>0</v>
      </c>
      <c r="J53" s="1674">
        <f t="shared" si="5"/>
        <v>0</v>
      </c>
      <c r="K53" s="1674">
        <f t="shared" si="5"/>
        <v>288924</v>
      </c>
      <c r="L53" s="1674">
        <f t="shared" si="5"/>
        <v>201285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406619</v>
      </c>
      <c r="D55" s="1586">
        <v>116573</v>
      </c>
      <c r="E55" s="1586">
        <v>3325</v>
      </c>
      <c r="F55" s="1586">
        <v>20761</v>
      </c>
      <c r="G55" s="1586">
        <v>0</v>
      </c>
      <c r="H55" s="1586">
        <v>1400</v>
      </c>
      <c r="I55" s="1574">
        <v>0</v>
      </c>
      <c r="J55" s="1574">
        <v>0</v>
      </c>
      <c r="K55" s="1678">
        <f>SUM(C55:J55)</f>
        <v>548678</v>
      </c>
      <c r="L55" s="1586">
        <v>553220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406619</v>
      </c>
      <c r="D57" s="1679">
        <f t="shared" ref="D57:K57" si="6">SUM(D55:D56)</f>
        <v>116573</v>
      </c>
      <c r="E57" s="1679">
        <f t="shared" si="6"/>
        <v>3325</v>
      </c>
      <c r="F57" s="1679">
        <f t="shared" si="6"/>
        <v>20761</v>
      </c>
      <c r="G57" s="1679">
        <f t="shared" si="6"/>
        <v>0</v>
      </c>
      <c r="H57" s="1679">
        <f t="shared" si="6"/>
        <v>1400</v>
      </c>
      <c r="I57" s="1679">
        <f t="shared" si="6"/>
        <v>0</v>
      </c>
      <c r="J57" s="1679">
        <f t="shared" si="6"/>
        <v>0</v>
      </c>
      <c r="K57" s="1679">
        <f t="shared" si="6"/>
        <v>548678</v>
      </c>
      <c r="L57" s="1674">
        <f>SUM(L55:L56)</f>
        <v>553220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62898</v>
      </c>
      <c r="D59" s="1586">
        <v>9251</v>
      </c>
      <c r="E59" s="1586">
        <v>14384</v>
      </c>
      <c r="F59" s="1586">
        <v>4087</v>
      </c>
      <c r="G59" s="1586">
        <v>0</v>
      </c>
      <c r="H59" s="1586">
        <v>230</v>
      </c>
      <c r="I59" s="1574">
        <v>0</v>
      </c>
      <c r="J59" s="1574">
        <v>0</v>
      </c>
      <c r="K59" s="1678">
        <f t="shared" ref="K59:K64" si="7">SUM(C59:J59)</f>
        <v>90850</v>
      </c>
      <c r="L59" s="1586">
        <v>73175</v>
      </c>
      <c r="M59" s="501"/>
      <c r="N59" s="501"/>
    </row>
    <row r="60" spans="1:14" s="321" customFormat="1" x14ac:dyDescent="0.2">
      <c r="A60" s="1274" t="s">
        <v>460</v>
      </c>
      <c r="B60" s="503">
        <v>2520</v>
      </c>
      <c r="C60" s="1573">
        <v>0</v>
      </c>
      <c r="D60" s="1573">
        <v>0</v>
      </c>
      <c r="E60" s="1573">
        <v>15589</v>
      </c>
      <c r="F60" s="1573">
        <v>0</v>
      </c>
      <c r="G60" s="1573">
        <v>0</v>
      </c>
      <c r="H60" s="1573">
        <v>1176</v>
      </c>
      <c r="I60" s="1574">
        <v>0</v>
      </c>
      <c r="J60" s="1574">
        <v>0</v>
      </c>
      <c r="K60" s="1678">
        <f t="shared" si="7"/>
        <v>16765</v>
      </c>
      <c r="L60" s="1573">
        <v>17500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5775</v>
      </c>
      <c r="M62" s="501"/>
      <c r="N62" s="501"/>
    </row>
    <row r="63" spans="1:14" s="501" customFormat="1" x14ac:dyDescent="0.2">
      <c r="A63" s="1274" t="s">
        <v>100</v>
      </c>
      <c r="B63" s="503">
        <v>2560</v>
      </c>
      <c r="C63" s="1573">
        <v>148114</v>
      </c>
      <c r="D63" s="1573">
        <v>4659</v>
      </c>
      <c r="E63" s="1573">
        <v>447</v>
      </c>
      <c r="F63" s="1573">
        <v>127994</v>
      </c>
      <c r="G63" s="1573">
        <v>0</v>
      </c>
      <c r="H63" s="1573">
        <v>699</v>
      </c>
      <c r="I63" s="1574">
        <v>0</v>
      </c>
      <c r="J63" s="1574">
        <v>0</v>
      </c>
      <c r="K63" s="1678">
        <f t="shared" si="7"/>
        <v>281913</v>
      </c>
      <c r="L63" s="1573">
        <v>301570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211012</v>
      </c>
      <c r="D65" s="1674">
        <f t="shared" ref="D65:L65" si="8">SUM(D59:D64)</f>
        <v>13910</v>
      </c>
      <c r="E65" s="1674">
        <f t="shared" si="8"/>
        <v>30420</v>
      </c>
      <c r="F65" s="1674">
        <f t="shared" si="8"/>
        <v>132081</v>
      </c>
      <c r="G65" s="1674">
        <f t="shared" si="8"/>
        <v>0</v>
      </c>
      <c r="H65" s="1674">
        <f t="shared" si="8"/>
        <v>2105</v>
      </c>
      <c r="I65" s="1674">
        <f t="shared" si="8"/>
        <v>0</v>
      </c>
      <c r="J65" s="1674">
        <f t="shared" si="8"/>
        <v>0</v>
      </c>
      <c r="K65" s="1674">
        <f t="shared" si="8"/>
        <v>389528</v>
      </c>
      <c r="L65" s="1674">
        <f t="shared" si="8"/>
        <v>398020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1260738</v>
      </c>
      <c r="D74" s="1681">
        <f t="shared" ref="D74:K74" si="10">SUM(D42,D47,D53,D57,D65,D72,D73)</f>
        <v>238371</v>
      </c>
      <c r="E74" s="1681">
        <f t="shared" si="10"/>
        <v>256642</v>
      </c>
      <c r="F74" s="1681">
        <f t="shared" si="10"/>
        <v>244798</v>
      </c>
      <c r="G74" s="1681">
        <f t="shared" si="10"/>
        <v>4283</v>
      </c>
      <c r="H74" s="1681">
        <f t="shared" si="10"/>
        <v>10878</v>
      </c>
      <c r="I74" s="1681">
        <f t="shared" si="10"/>
        <v>29656</v>
      </c>
      <c r="J74" s="1681">
        <f t="shared" si="10"/>
        <v>0</v>
      </c>
      <c r="K74" s="1681">
        <f t="shared" si="10"/>
        <v>2045366</v>
      </c>
      <c r="L74" s="1681">
        <f>SUM(L42,L47,L53,L57,L65,L72,L73)</f>
        <v>2063683</v>
      </c>
    </row>
    <row r="75" spans="1:14" s="254" customFormat="1" ht="15.75" customHeight="1" thickTop="1" thickBot="1" x14ac:dyDescent="0.25">
      <c r="A75" s="1348" t="s">
        <v>47</v>
      </c>
      <c r="B75" s="1349" t="s">
        <v>571</v>
      </c>
      <c r="C75" s="1649">
        <v>0</v>
      </c>
      <c r="D75" s="1649">
        <v>0</v>
      </c>
      <c r="E75" s="1649">
        <v>1113</v>
      </c>
      <c r="F75" s="1649">
        <v>0</v>
      </c>
      <c r="G75" s="1649">
        <v>0</v>
      </c>
      <c r="H75" s="1649">
        <v>0</v>
      </c>
      <c r="I75" s="1627">
        <v>0</v>
      </c>
      <c r="J75" s="1627">
        <v>0</v>
      </c>
      <c r="K75" s="1674">
        <f>SUM(C75:J75)</f>
        <v>1113</v>
      </c>
      <c r="L75" s="1651">
        <v>2000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92652</v>
      </c>
      <c r="F79" s="1673"/>
      <c r="G79" s="1673"/>
      <c r="H79" s="1573">
        <v>0</v>
      </c>
      <c r="I79" s="1582"/>
      <c r="J79" s="1582"/>
      <c r="K79" s="1672">
        <f t="shared" si="11"/>
        <v>92652</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43537</v>
      </c>
      <c r="I81" s="1582"/>
      <c r="J81" s="1582"/>
      <c r="K81" s="1672">
        <f t="shared" si="11"/>
        <v>43537</v>
      </c>
      <c r="L81" s="1573">
        <v>25000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4000</v>
      </c>
      <c r="F83" s="1673"/>
      <c r="G83" s="1673"/>
      <c r="H83" s="1573">
        <v>0</v>
      </c>
      <c r="I83" s="1582"/>
      <c r="J83" s="1582"/>
      <c r="K83" s="1672">
        <f t="shared" si="11"/>
        <v>4000</v>
      </c>
      <c r="L83" s="1573">
        <v>4000</v>
      </c>
    </row>
    <row r="84" spans="1:12" ht="13.5" thickBot="1" x14ac:dyDescent="0.25">
      <c r="A84" s="1380" t="s">
        <v>1468</v>
      </c>
      <c r="B84" s="1385">
        <v>4100</v>
      </c>
      <c r="C84" s="1673"/>
      <c r="D84" s="1673"/>
      <c r="E84" s="1674">
        <f>SUM(E78:E83)</f>
        <v>96652</v>
      </c>
      <c r="F84" s="1673"/>
      <c r="G84" s="1673"/>
      <c r="H84" s="1674">
        <f>SUM(H78:H83)</f>
        <v>43537</v>
      </c>
      <c r="I84" s="1582"/>
      <c r="J84" s="1582"/>
      <c r="K84" s="1674">
        <f>SUM(K78:K83)</f>
        <v>140189</v>
      </c>
      <c r="L84" s="1674">
        <f>SUM(L78:L83)</f>
        <v>29000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34685</v>
      </c>
      <c r="I86" s="1582"/>
      <c r="J86" s="1582"/>
      <c r="K86" s="1681">
        <f t="shared" ref="K86:K98" si="12">H86</f>
        <v>34685</v>
      </c>
      <c r="L86" s="1626">
        <v>90000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45600</v>
      </c>
      <c r="I88" s="1582"/>
      <c r="J88" s="1582"/>
      <c r="K88" s="1681">
        <f t="shared" si="12"/>
        <v>45600</v>
      </c>
      <c r="L88" s="1626">
        <v>0</v>
      </c>
    </row>
    <row r="89" spans="1:12" ht="12.75" customHeight="1" thickTop="1" thickBot="1" x14ac:dyDescent="0.25">
      <c r="A89" s="1283" t="s">
        <v>696</v>
      </c>
      <c r="B89" s="519">
        <v>4270</v>
      </c>
      <c r="C89" s="1673"/>
      <c r="D89" s="1673"/>
      <c r="E89" s="1684"/>
      <c r="F89" s="1673"/>
      <c r="G89" s="1673"/>
      <c r="H89" s="1574">
        <v>2283</v>
      </c>
      <c r="I89" s="1582"/>
      <c r="J89" s="1582"/>
      <c r="K89" s="1681">
        <f t="shared" si="12"/>
        <v>2283</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7989</v>
      </c>
      <c r="I91" s="1582"/>
      <c r="J91" s="1582"/>
      <c r="K91" s="1681">
        <f t="shared" si="12"/>
        <v>7989</v>
      </c>
      <c r="L91" s="1626">
        <v>0</v>
      </c>
    </row>
    <row r="92" spans="1:12" ht="14.25" thickTop="1" thickBot="1" x14ac:dyDescent="0.25">
      <c r="A92" s="1386" t="s">
        <v>1543</v>
      </c>
      <c r="B92" s="1385">
        <v>4200</v>
      </c>
      <c r="C92" s="1673"/>
      <c r="D92" s="1673"/>
      <c r="E92" s="1684"/>
      <c r="F92" s="1673"/>
      <c r="G92" s="1673"/>
      <c r="H92" s="1674">
        <f>SUM(H85:H91)</f>
        <v>90557</v>
      </c>
      <c r="I92" s="1582"/>
      <c r="J92" s="1582"/>
      <c r="K92" s="1681">
        <f t="shared" si="12"/>
        <v>90557</v>
      </c>
      <c r="L92" s="1674">
        <f>SUM(L85:L91)</f>
        <v>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96652</v>
      </c>
      <c r="F102" s="1673"/>
      <c r="G102" s="1673"/>
      <c r="H102" s="1681">
        <f>SUM(H84,H92,H100,H101)</f>
        <v>134094</v>
      </c>
      <c r="I102" s="1582"/>
      <c r="J102" s="1582"/>
      <c r="K102" s="1681">
        <f>SUM(K84,K92,K100,K101)</f>
        <v>230746</v>
      </c>
      <c r="L102" s="1681">
        <f>SUM(L84,L92,L100,L101)</f>
        <v>119000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5607827</v>
      </c>
      <c r="D114" s="1674">
        <f t="shared" ref="D114:K114" si="13">SUM(D33,D74,D75,D102,D112,D113)</f>
        <v>609689</v>
      </c>
      <c r="E114" s="1674">
        <f t="shared" si="13"/>
        <v>461155</v>
      </c>
      <c r="F114" s="1674">
        <f t="shared" si="13"/>
        <v>388779</v>
      </c>
      <c r="G114" s="1674">
        <f t="shared" si="13"/>
        <v>19206</v>
      </c>
      <c r="H114" s="1674">
        <f>SUM(H33,H74,H75,H102,H112,H113)</f>
        <v>414504</v>
      </c>
      <c r="I114" s="1674">
        <f t="shared" si="13"/>
        <v>30441</v>
      </c>
      <c r="J114" s="1674">
        <f t="shared" si="13"/>
        <v>0</v>
      </c>
      <c r="K114" s="1674">
        <f t="shared" si="13"/>
        <v>7531601</v>
      </c>
      <c r="L114" s="1674">
        <f>SUM(L33,L74,L75,L102,L112,L113)</f>
        <v>7566642</v>
      </c>
    </row>
    <row r="115" spans="1:14" ht="13.5" thickTop="1" x14ac:dyDescent="0.2">
      <c r="A115" s="2286" t="s">
        <v>989</v>
      </c>
      <c r="B115" s="2287"/>
      <c r="C115" s="1675"/>
      <c r="D115" s="1675"/>
      <c r="E115" s="1675"/>
      <c r="F115" s="1675"/>
      <c r="G115" s="1675"/>
      <c r="H115" s="1675"/>
      <c r="I115" s="1675"/>
      <c r="J115" s="1675"/>
      <c r="K115" s="1689">
        <f>'Revenues 9-14'!C268-'Expenditures 15-22'!K114</f>
        <v>79615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236464</v>
      </c>
      <c r="D124" s="1573">
        <v>36673</v>
      </c>
      <c r="E124" s="1573">
        <v>296269</v>
      </c>
      <c r="F124" s="1573">
        <v>185964</v>
      </c>
      <c r="G124" s="1573">
        <v>66830</v>
      </c>
      <c r="H124" s="1573">
        <v>0</v>
      </c>
      <c r="I124" s="1574">
        <v>910</v>
      </c>
      <c r="J124" s="1574">
        <v>0</v>
      </c>
      <c r="K124" s="1674">
        <f>SUM(C124:J124)</f>
        <v>823110</v>
      </c>
      <c r="L124" s="1573">
        <v>803150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236464</v>
      </c>
      <c r="D127" s="1674">
        <f t="shared" ref="D127:L127" si="14">SUM(D122:D126)</f>
        <v>36673</v>
      </c>
      <c r="E127" s="1674">
        <f t="shared" si="14"/>
        <v>296269</v>
      </c>
      <c r="F127" s="1674">
        <f t="shared" si="14"/>
        <v>185964</v>
      </c>
      <c r="G127" s="1674">
        <f t="shared" si="14"/>
        <v>66830</v>
      </c>
      <c r="H127" s="1674">
        <f t="shared" si="14"/>
        <v>0</v>
      </c>
      <c r="I127" s="1674">
        <f t="shared" si="14"/>
        <v>910</v>
      </c>
      <c r="J127" s="1674">
        <f t="shared" si="14"/>
        <v>0</v>
      </c>
      <c r="K127" s="1674">
        <f t="shared" si="14"/>
        <v>823110</v>
      </c>
      <c r="L127" s="1674">
        <f t="shared" si="14"/>
        <v>803150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236464</v>
      </c>
      <c r="D129" s="1681">
        <f t="shared" ref="D129:L129" si="15">SUM(D120,D127,D128)</f>
        <v>36673</v>
      </c>
      <c r="E129" s="1681">
        <f t="shared" si="15"/>
        <v>296269</v>
      </c>
      <c r="F129" s="1681">
        <f t="shared" si="15"/>
        <v>185964</v>
      </c>
      <c r="G129" s="1681">
        <f t="shared" si="15"/>
        <v>66830</v>
      </c>
      <c r="H129" s="1681">
        <f t="shared" si="15"/>
        <v>0</v>
      </c>
      <c r="I129" s="1681">
        <f t="shared" si="15"/>
        <v>910</v>
      </c>
      <c r="J129" s="1681">
        <f t="shared" si="15"/>
        <v>0</v>
      </c>
      <c r="K129" s="1681">
        <f t="shared" si="15"/>
        <v>823110</v>
      </c>
      <c r="L129" s="1681">
        <f t="shared" si="15"/>
        <v>803150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6" t="s">
        <v>616</v>
      </c>
      <c r="B151" s="2258"/>
      <c r="C151" s="1674">
        <f>SUM(C129,C130,C139,C149,C150)</f>
        <v>236464</v>
      </c>
      <c r="D151" s="1674">
        <f t="shared" ref="D151:K151" si="16">SUM(D129,D130,D139,D149,D150)</f>
        <v>36673</v>
      </c>
      <c r="E151" s="1674">
        <f t="shared" si="16"/>
        <v>296269</v>
      </c>
      <c r="F151" s="1674">
        <f t="shared" si="16"/>
        <v>185964</v>
      </c>
      <c r="G151" s="1674">
        <f t="shared" si="16"/>
        <v>66830</v>
      </c>
      <c r="H151" s="1674">
        <f t="shared" si="16"/>
        <v>0</v>
      </c>
      <c r="I151" s="1674">
        <f t="shared" si="16"/>
        <v>910</v>
      </c>
      <c r="J151" s="1674">
        <f t="shared" si="16"/>
        <v>0</v>
      </c>
      <c r="K151" s="1674">
        <f t="shared" si="16"/>
        <v>823110</v>
      </c>
      <c r="L151" s="1674">
        <f>SUM(L129,L130,L139,L149,L150)</f>
        <v>803150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48377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117975</v>
      </c>
      <c r="I169" s="1673"/>
      <c r="J169" s="1673"/>
      <c r="K169" s="1672">
        <f>SUM(C169:H169)</f>
        <v>117975</v>
      </c>
      <c r="L169" s="1695">
        <v>120000</v>
      </c>
    </row>
    <row r="170" spans="1:14" ht="33.75" customHeight="1" x14ac:dyDescent="0.2">
      <c r="A170" s="543" t="s">
        <v>1651</v>
      </c>
      <c r="B170" s="545" t="s">
        <v>31</v>
      </c>
      <c r="C170" s="1673"/>
      <c r="D170" s="1673"/>
      <c r="E170" s="1673"/>
      <c r="F170" s="1673"/>
      <c r="G170" s="1673"/>
      <c r="H170" s="1646">
        <v>745000</v>
      </c>
      <c r="I170" s="1673"/>
      <c r="J170" s="1673"/>
      <c r="K170" s="1672">
        <f>SUM(C170:J170)</f>
        <v>745000</v>
      </c>
      <c r="L170" s="1646">
        <v>745000</v>
      </c>
    </row>
    <row r="171" spans="1:14" ht="15.75" customHeight="1" x14ac:dyDescent="0.2">
      <c r="A171" s="507" t="s">
        <v>761</v>
      </c>
      <c r="B171" s="546" t="s">
        <v>84</v>
      </c>
      <c r="C171" s="1673"/>
      <c r="D171" s="1673"/>
      <c r="E171" s="1573">
        <v>0</v>
      </c>
      <c r="F171" s="1673"/>
      <c r="G171" s="1673"/>
      <c r="H171" s="1646">
        <v>2000</v>
      </c>
      <c r="I171" s="1582"/>
      <c r="J171" s="1673"/>
      <c r="K171" s="1672">
        <f>SUM(C171:J171)</f>
        <v>2000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864975</v>
      </c>
      <c r="I172" s="1684"/>
      <c r="J172" s="1673"/>
      <c r="K172" s="1681">
        <f>SUM(K168,K169,K170,K171)</f>
        <v>864975</v>
      </c>
      <c r="L172" s="1681">
        <f>SUM(L168,L169,L170,L171)</f>
        <v>867000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864975</v>
      </c>
      <c r="I174" s="1684"/>
      <c r="J174" s="1673"/>
      <c r="K174" s="1681">
        <f>SUM(K160,K172,K173)</f>
        <v>864975</v>
      </c>
      <c r="L174" s="1681">
        <f>SUM(L160,L172,L173)</f>
        <v>867000</v>
      </c>
    </row>
    <row r="175" spans="1:14" ht="13.5" thickTop="1" x14ac:dyDescent="0.2">
      <c r="A175" s="2286" t="s">
        <v>989</v>
      </c>
      <c r="B175" s="2287"/>
      <c r="C175" s="1673"/>
      <c r="D175" s="1673"/>
      <c r="E175" s="1673"/>
      <c r="F175" s="1673"/>
      <c r="G175" s="1673"/>
      <c r="H175" s="1675"/>
      <c r="I175" s="1673"/>
      <c r="J175" s="1673"/>
      <c r="K175" s="1689">
        <f>'Revenues 9-14'!E268-'Expenditures 15-22'!K174</f>
        <v>6432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284162</v>
      </c>
      <c r="D182" s="1573">
        <v>22</v>
      </c>
      <c r="E182" s="1573">
        <v>253908</v>
      </c>
      <c r="F182" s="1573">
        <v>56463</v>
      </c>
      <c r="G182" s="1573">
        <v>7724</v>
      </c>
      <c r="H182" s="1573">
        <v>685</v>
      </c>
      <c r="I182" s="1574">
        <v>0</v>
      </c>
      <c r="J182" s="1574">
        <v>0</v>
      </c>
      <c r="K182" s="1672">
        <f>SUM(C182:J182)</f>
        <v>602964</v>
      </c>
      <c r="L182" s="1573">
        <v>633100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284162</v>
      </c>
      <c r="D184" s="1681">
        <f t="shared" ref="D184:J184" si="17">SUM(D180,D182,D183)</f>
        <v>22</v>
      </c>
      <c r="E184" s="1681">
        <f t="shared" si="17"/>
        <v>253908</v>
      </c>
      <c r="F184" s="1681">
        <f t="shared" si="17"/>
        <v>56463</v>
      </c>
      <c r="G184" s="1681">
        <f t="shared" si="17"/>
        <v>7724</v>
      </c>
      <c r="H184" s="1681">
        <f t="shared" si="17"/>
        <v>685</v>
      </c>
      <c r="I184" s="1681">
        <f t="shared" si="17"/>
        <v>0</v>
      </c>
      <c r="J184" s="1681">
        <f t="shared" si="17"/>
        <v>0</v>
      </c>
      <c r="K184" s="1681">
        <f>SUM(K180,K182,K183)</f>
        <v>602964</v>
      </c>
      <c r="L184" s="1681">
        <f>SUM(L180, L182:L183)</f>
        <v>633100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2376</v>
      </c>
      <c r="F193" s="1673"/>
      <c r="G193" s="1673"/>
      <c r="H193" s="1573">
        <v>0</v>
      </c>
      <c r="I193" s="1582"/>
      <c r="J193" s="1673"/>
      <c r="K193" s="1672">
        <f t="shared" si="18"/>
        <v>2376</v>
      </c>
      <c r="L193" s="1573">
        <v>0</v>
      </c>
    </row>
    <row r="194" spans="1:14" ht="12.75" customHeight="1" thickBot="1" x14ac:dyDescent="0.25">
      <c r="A194" s="1380" t="s">
        <v>1130</v>
      </c>
      <c r="B194" s="1381" t="s">
        <v>555</v>
      </c>
      <c r="C194" s="1673"/>
      <c r="D194" s="1673"/>
      <c r="E194" s="1674">
        <f>SUM(E188:E193)</f>
        <v>2376</v>
      </c>
      <c r="F194" s="1673"/>
      <c r="G194" s="1673"/>
      <c r="H194" s="1674">
        <f>SUM(H188:H193)</f>
        <v>0</v>
      </c>
      <c r="I194" s="1582"/>
      <c r="J194" s="1673"/>
      <c r="K194" s="1674">
        <f>SUM(K188:K193)</f>
        <v>2376</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2376</v>
      </c>
      <c r="F196" s="1673"/>
      <c r="G196" s="1673"/>
      <c r="H196" s="1681">
        <f>SUM(H194,H195)</f>
        <v>0</v>
      </c>
      <c r="I196" s="1582"/>
      <c r="J196" s="1673"/>
      <c r="K196" s="1681">
        <f>SUM(K194,K195)</f>
        <v>2376</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284162</v>
      </c>
      <c r="D210" s="1674">
        <f>SUM(D184,D185)</f>
        <v>22</v>
      </c>
      <c r="E210" s="1674">
        <f>SUM(E184,E185,E196)</f>
        <v>256284</v>
      </c>
      <c r="F210" s="1674">
        <f>SUM(F184,F185)</f>
        <v>56463</v>
      </c>
      <c r="G210" s="1674">
        <f>SUM(G184,G185)</f>
        <v>7724</v>
      </c>
      <c r="H210" s="1674">
        <f>SUM(H184,H185,H196,H208,H209)</f>
        <v>685</v>
      </c>
      <c r="I210" s="1674">
        <f>SUM(I184,I185)</f>
        <v>0</v>
      </c>
      <c r="J210" s="1674">
        <f>SUM(J184,J185)</f>
        <v>0</v>
      </c>
      <c r="K210" s="1672">
        <f>SUM(K184,K185,K196,K208,K209)</f>
        <v>605340</v>
      </c>
      <c r="L210" s="1674">
        <f>SUM(L184,L185,L196,L208,L209)</f>
        <v>633100</v>
      </c>
    </row>
    <row r="211" spans="1:14" ht="13.5" thickTop="1" x14ac:dyDescent="0.2">
      <c r="A211" s="2286" t="s">
        <v>989</v>
      </c>
      <c r="B211" s="2287"/>
      <c r="C211" s="1675"/>
      <c r="D211" s="1675"/>
      <c r="E211" s="1675"/>
      <c r="F211" s="1675"/>
      <c r="G211" s="1675"/>
      <c r="H211" s="1675"/>
      <c r="I211" s="1673"/>
      <c r="J211" s="1673"/>
      <c r="K211" s="1689">
        <f>'Revenues 9-14'!F268-'Expenditures 15-22'!K210</f>
        <v>76077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57903</v>
      </c>
      <c r="E215" s="1673"/>
      <c r="F215" s="1673"/>
      <c r="G215" s="1673"/>
      <c r="H215" s="1673"/>
      <c r="I215" s="1673"/>
      <c r="J215" s="1673"/>
      <c r="K215" s="1672">
        <f>D215</f>
        <v>57903</v>
      </c>
      <c r="L215" s="1573">
        <v>49875</v>
      </c>
    </row>
    <row r="216" spans="1:14" x14ac:dyDescent="0.2">
      <c r="A216" s="1274" t="s">
        <v>162</v>
      </c>
      <c r="B216" s="503" t="s">
        <v>961</v>
      </c>
      <c r="C216" s="1673"/>
      <c r="D216" s="1574">
        <v>294</v>
      </c>
      <c r="E216" s="1673"/>
      <c r="F216" s="1673"/>
      <c r="G216" s="1673"/>
      <c r="H216" s="1673"/>
      <c r="I216" s="1673"/>
      <c r="J216" s="1673"/>
      <c r="K216" s="1672">
        <f t="shared" ref="K216:K228" si="19">D216</f>
        <v>294</v>
      </c>
      <c r="L216" s="1573">
        <v>600</v>
      </c>
    </row>
    <row r="217" spans="1:14" x14ac:dyDescent="0.2">
      <c r="A217" s="1274" t="s">
        <v>163</v>
      </c>
      <c r="B217" s="503">
        <v>1200</v>
      </c>
      <c r="C217" s="1673"/>
      <c r="D217" s="1573">
        <v>30062</v>
      </c>
      <c r="E217" s="1673"/>
      <c r="F217" s="1673"/>
      <c r="G217" s="1673"/>
      <c r="H217" s="1673"/>
      <c r="I217" s="1673"/>
      <c r="J217" s="1673"/>
      <c r="K217" s="1672">
        <f t="shared" si="19"/>
        <v>30062</v>
      </c>
      <c r="L217" s="1573">
        <v>36070</v>
      </c>
    </row>
    <row r="218" spans="1:14" x14ac:dyDescent="0.2">
      <c r="A218" s="1274" t="s">
        <v>276</v>
      </c>
      <c r="B218" s="503" t="s">
        <v>962</v>
      </c>
      <c r="C218" s="1673"/>
      <c r="D218" s="1574">
        <v>1383</v>
      </c>
      <c r="E218" s="1673"/>
      <c r="F218" s="1673"/>
      <c r="G218" s="1673"/>
      <c r="H218" s="1673"/>
      <c r="I218" s="1673"/>
      <c r="J218" s="1673"/>
      <c r="K218" s="1672">
        <f t="shared" si="19"/>
        <v>1383</v>
      </c>
      <c r="L218" s="1573">
        <v>0</v>
      </c>
    </row>
    <row r="219" spans="1:14" x14ac:dyDescent="0.2">
      <c r="A219" s="1274" t="s">
        <v>277</v>
      </c>
      <c r="B219" s="503">
        <v>1250</v>
      </c>
      <c r="C219" s="1673"/>
      <c r="D219" s="1573">
        <v>5730</v>
      </c>
      <c r="E219" s="1673"/>
      <c r="F219" s="1673"/>
      <c r="G219" s="1673"/>
      <c r="H219" s="1673"/>
      <c r="I219" s="1673"/>
      <c r="J219" s="1673"/>
      <c r="K219" s="1672">
        <f t="shared" si="19"/>
        <v>5730</v>
      </c>
      <c r="L219" s="1573">
        <v>5560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2248</v>
      </c>
      <c r="E222" s="1673"/>
      <c r="F222" s="1673"/>
      <c r="G222" s="1673"/>
      <c r="H222" s="1673"/>
      <c r="I222" s="1673"/>
      <c r="J222" s="1673"/>
      <c r="K222" s="1672">
        <f t="shared" si="19"/>
        <v>2248</v>
      </c>
      <c r="L222" s="1573">
        <v>3000</v>
      </c>
    </row>
    <row r="223" spans="1:14" x14ac:dyDescent="0.2">
      <c r="A223" s="1274" t="s">
        <v>957</v>
      </c>
      <c r="B223" s="503">
        <v>1500</v>
      </c>
      <c r="C223" s="1673"/>
      <c r="D223" s="1573">
        <v>4793</v>
      </c>
      <c r="E223" s="1673"/>
      <c r="F223" s="1673"/>
      <c r="G223" s="1673"/>
      <c r="H223" s="1673"/>
      <c r="I223" s="1673"/>
      <c r="J223" s="1673"/>
      <c r="K223" s="1672">
        <f t="shared" si="19"/>
        <v>4793</v>
      </c>
      <c r="L223" s="1573">
        <v>4200</v>
      </c>
    </row>
    <row r="224" spans="1:14" x14ac:dyDescent="0.2">
      <c r="A224" s="1274" t="s">
        <v>958</v>
      </c>
      <c r="B224" s="503">
        <v>1600</v>
      </c>
      <c r="C224" s="1673"/>
      <c r="D224" s="1573">
        <v>38</v>
      </c>
      <c r="E224" s="1673"/>
      <c r="F224" s="1673"/>
      <c r="G224" s="1673"/>
      <c r="H224" s="1673"/>
      <c r="I224" s="1673"/>
      <c r="J224" s="1673"/>
      <c r="K224" s="1672">
        <f t="shared" si="19"/>
        <v>38</v>
      </c>
      <c r="L224" s="1573">
        <v>240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707</v>
      </c>
      <c r="E226" s="1673"/>
      <c r="F226" s="1673"/>
      <c r="G226" s="1673"/>
      <c r="H226" s="1673"/>
      <c r="I226" s="1673"/>
      <c r="J226" s="1673"/>
      <c r="K226" s="1672">
        <f t="shared" si="19"/>
        <v>707</v>
      </c>
      <c r="L226" s="1573">
        <v>750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103158</v>
      </c>
      <c r="E229" s="1673"/>
      <c r="F229" s="1673"/>
      <c r="G229" s="1673"/>
      <c r="H229" s="1673"/>
      <c r="I229" s="1673"/>
      <c r="J229" s="1673"/>
      <c r="K229" s="1674">
        <f>SUM(K215:K228)</f>
        <v>103158</v>
      </c>
      <c r="L229" s="1674">
        <f>SUM(L215:L228)</f>
        <v>100295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741</v>
      </c>
      <c r="E232" s="1673"/>
      <c r="F232" s="1673"/>
      <c r="G232" s="1673"/>
      <c r="H232" s="1673"/>
      <c r="I232" s="1673"/>
      <c r="J232" s="1673"/>
      <c r="K232" s="1672">
        <f t="shared" ref="K232:K237" si="20">D232</f>
        <v>741</v>
      </c>
      <c r="L232" s="1573">
        <v>900</v>
      </c>
    </row>
    <row r="233" spans="1:12" x14ac:dyDescent="0.2">
      <c r="A233" s="1274" t="s">
        <v>1081</v>
      </c>
      <c r="B233" s="503">
        <v>2120</v>
      </c>
      <c r="C233" s="1673"/>
      <c r="D233" s="1573">
        <v>1778</v>
      </c>
      <c r="E233" s="1673"/>
      <c r="F233" s="1673"/>
      <c r="G233" s="1673"/>
      <c r="H233" s="1673"/>
      <c r="I233" s="1673"/>
      <c r="J233" s="1673"/>
      <c r="K233" s="1672">
        <f t="shared" si="20"/>
        <v>1778</v>
      </c>
      <c r="L233" s="1573">
        <v>2000</v>
      </c>
    </row>
    <row r="234" spans="1:12" x14ac:dyDescent="0.2">
      <c r="A234" s="1274" t="s">
        <v>196</v>
      </c>
      <c r="B234" s="503">
        <v>2130</v>
      </c>
      <c r="C234" s="1673"/>
      <c r="D234" s="1573">
        <v>1360</v>
      </c>
      <c r="E234" s="1673"/>
      <c r="F234" s="1673"/>
      <c r="G234" s="1673"/>
      <c r="H234" s="1673"/>
      <c r="I234" s="1673"/>
      <c r="J234" s="1673"/>
      <c r="K234" s="1672">
        <f t="shared" si="20"/>
        <v>1360</v>
      </c>
      <c r="L234" s="1573">
        <v>1850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1236</v>
      </c>
      <c r="E236" s="1673"/>
      <c r="F236" s="1673"/>
      <c r="G236" s="1673"/>
      <c r="H236" s="1673"/>
      <c r="I236" s="1673"/>
      <c r="J236" s="1673"/>
      <c r="K236" s="1672">
        <f t="shared" si="20"/>
        <v>1236</v>
      </c>
      <c r="L236" s="1573">
        <v>1000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5115</v>
      </c>
      <c r="E238" s="1673"/>
      <c r="F238" s="1673"/>
      <c r="G238" s="1673"/>
      <c r="H238" s="1673"/>
      <c r="I238" s="1673"/>
      <c r="J238" s="1673"/>
      <c r="K238" s="1674">
        <f>SUM(K232:K237)</f>
        <v>5115</v>
      </c>
      <c r="L238" s="1674">
        <f>SUM(L232:L237)</f>
        <v>5750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23</v>
      </c>
      <c r="E240" s="1673"/>
      <c r="F240" s="1673"/>
      <c r="G240" s="1673"/>
      <c r="H240" s="1673"/>
      <c r="I240" s="1673"/>
      <c r="J240" s="1673"/>
      <c r="K240" s="1678">
        <f>D240</f>
        <v>23</v>
      </c>
      <c r="L240" s="1586">
        <v>0</v>
      </c>
    </row>
    <row r="241" spans="1:12" x14ac:dyDescent="0.2">
      <c r="A241" s="1274" t="s">
        <v>810</v>
      </c>
      <c r="B241" s="503">
        <v>2220</v>
      </c>
      <c r="C241" s="1673"/>
      <c r="D241" s="1573">
        <v>9331</v>
      </c>
      <c r="E241" s="1673"/>
      <c r="F241" s="1673"/>
      <c r="G241" s="1673"/>
      <c r="H241" s="1673"/>
      <c r="I241" s="1673"/>
      <c r="J241" s="1673"/>
      <c r="K241" s="1678">
        <f>D241</f>
        <v>9331</v>
      </c>
      <c r="L241" s="1573">
        <v>9850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9354</v>
      </c>
      <c r="E243" s="1673"/>
      <c r="F243" s="1673"/>
      <c r="G243" s="1673"/>
      <c r="H243" s="1673"/>
      <c r="I243" s="1673"/>
      <c r="J243" s="1673"/>
      <c r="K243" s="1674">
        <f>SUM(K240:K242)</f>
        <v>9354</v>
      </c>
      <c r="L243" s="1674">
        <f>SUM(L240:L242)</f>
        <v>9850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571</v>
      </c>
      <c r="E245" s="1673"/>
      <c r="F245" s="1673"/>
      <c r="G245" s="1673"/>
      <c r="H245" s="1673"/>
      <c r="I245" s="1673"/>
      <c r="J245" s="1673"/>
      <c r="K245" s="1678">
        <f>D245</f>
        <v>571</v>
      </c>
      <c r="L245" s="1586">
        <v>500</v>
      </c>
    </row>
    <row r="246" spans="1:12" x14ac:dyDescent="0.2">
      <c r="A246" s="1274" t="s">
        <v>813</v>
      </c>
      <c r="B246" s="503">
        <v>2320</v>
      </c>
      <c r="C246" s="1673"/>
      <c r="D246" s="1573">
        <v>4820</v>
      </c>
      <c r="E246" s="1673"/>
      <c r="F246" s="1673"/>
      <c r="G246" s="1673"/>
      <c r="H246" s="1673"/>
      <c r="I246" s="1673"/>
      <c r="J246" s="1673"/>
      <c r="K246" s="1678">
        <f t="shared" ref="K246:K256" si="21">D246</f>
        <v>4820</v>
      </c>
      <c r="L246" s="1573">
        <v>5700</v>
      </c>
    </row>
    <row r="247" spans="1:12" x14ac:dyDescent="0.2">
      <c r="A247" s="1274" t="s">
        <v>814</v>
      </c>
      <c r="B247" s="503">
        <v>2330</v>
      </c>
      <c r="C247" s="1673"/>
      <c r="D247" s="1573">
        <v>906</v>
      </c>
      <c r="E247" s="1673"/>
      <c r="F247" s="1673"/>
      <c r="G247" s="1673"/>
      <c r="H247" s="1673"/>
      <c r="I247" s="1673"/>
      <c r="J247" s="1673"/>
      <c r="K247" s="1678">
        <f t="shared" si="21"/>
        <v>906</v>
      </c>
      <c r="L247" s="1573">
        <v>500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1781</v>
      </c>
      <c r="B249" s="557" t="s">
        <v>280</v>
      </c>
      <c r="C249" s="1673"/>
      <c r="D249" s="1579">
        <v>0</v>
      </c>
      <c r="E249" s="1673"/>
      <c r="F249" s="1673"/>
      <c r="G249" s="1673"/>
      <c r="H249" s="1673"/>
      <c r="I249" s="1673"/>
      <c r="J249" s="1673"/>
      <c r="K249" s="1678">
        <f t="shared" si="21"/>
        <v>0</v>
      </c>
      <c r="L249" s="1573">
        <v>0</v>
      </c>
    </row>
    <row r="250" spans="1:12" x14ac:dyDescent="0.2">
      <c r="A250" s="1275" t="s">
        <v>1782</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6297</v>
      </c>
      <c r="E257" s="1673"/>
      <c r="F257" s="1673"/>
      <c r="G257" s="1673"/>
      <c r="H257" s="1673"/>
      <c r="I257" s="1673"/>
      <c r="J257" s="1673"/>
      <c r="K257" s="1674">
        <f>SUM(K245:K256)</f>
        <v>6297</v>
      </c>
      <c r="L257" s="1674">
        <f>SUM(L245:L256)</f>
        <v>6700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20706</v>
      </c>
      <c r="E259" s="1673"/>
      <c r="F259" s="1673"/>
      <c r="G259" s="1673"/>
      <c r="H259" s="1673"/>
      <c r="I259" s="1673"/>
      <c r="J259" s="1673"/>
      <c r="K259" s="1678">
        <f>D259</f>
        <v>20706</v>
      </c>
      <c r="L259" s="1586">
        <v>28400</v>
      </c>
    </row>
    <row r="260" spans="1:14" s="493" customFormat="1" x14ac:dyDescent="0.2">
      <c r="A260" s="1292" t="s">
        <v>1780</v>
      </c>
      <c r="B260" s="512">
        <v>2490</v>
      </c>
      <c r="C260" s="1673"/>
      <c r="D260" s="1573">
        <v>0</v>
      </c>
      <c r="E260" s="1673"/>
      <c r="F260" s="1673"/>
      <c r="G260" s="1673"/>
      <c r="H260" s="1673"/>
      <c r="I260" s="1673"/>
      <c r="J260" s="1673"/>
      <c r="K260" s="1678">
        <f>D260</f>
        <v>0</v>
      </c>
      <c r="L260" s="1573">
        <v>1000</v>
      </c>
      <c r="M260" s="205"/>
      <c r="N260" s="205"/>
    </row>
    <row r="261" spans="1:14" ht="12.75" customHeight="1" thickBot="1" x14ac:dyDescent="0.25">
      <c r="A261" s="1394" t="s">
        <v>261</v>
      </c>
      <c r="B261" s="1399" t="s">
        <v>34</v>
      </c>
      <c r="C261" s="1673"/>
      <c r="D261" s="1674">
        <f>SUM(D259:D260)</f>
        <v>20706</v>
      </c>
      <c r="E261" s="1673"/>
      <c r="F261" s="1673"/>
      <c r="G261" s="1673"/>
      <c r="H261" s="1673"/>
      <c r="I261" s="1673"/>
      <c r="J261" s="1673"/>
      <c r="K261" s="1674">
        <f>SUM(K259:K260)</f>
        <v>20706</v>
      </c>
      <c r="L261" s="1674">
        <f>SUM(L259:L260)</f>
        <v>29400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11720</v>
      </c>
      <c r="E263" s="1673"/>
      <c r="F263" s="1673"/>
      <c r="G263" s="1673"/>
      <c r="H263" s="1673"/>
      <c r="I263" s="1673"/>
      <c r="J263" s="1673"/>
      <c r="K263" s="1678">
        <f>D263</f>
        <v>11720</v>
      </c>
      <c r="L263" s="1586">
        <v>11500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39244</v>
      </c>
      <c r="E266" s="1673"/>
      <c r="F266" s="1673"/>
      <c r="G266" s="1673"/>
      <c r="H266" s="1673"/>
      <c r="I266" s="1673"/>
      <c r="J266" s="1673"/>
      <c r="K266" s="1678">
        <f t="shared" si="22"/>
        <v>39244</v>
      </c>
      <c r="L266" s="1573">
        <v>45200</v>
      </c>
    </row>
    <row r="267" spans="1:14" x14ac:dyDescent="0.2">
      <c r="A267" s="1274" t="s">
        <v>947</v>
      </c>
      <c r="B267" s="503">
        <v>2550</v>
      </c>
      <c r="C267" s="1673"/>
      <c r="D267" s="1573">
        <v>22720</v>
      </c>
      <c r="E267" s="1673"/>
      <c r="F267" s="1673"/>
      <c r="G267" s="1673"/>
      <c r="H267" s="1673"/>
      <c r="I267" s="1673"/>
      <c r="J267" s="1673"/>
      <c r="K267" s="1678">
        <f t="shared" si="22"/>
        <v>22720</v>
      </c>
      <c r="L267" s="1573">
        <v>37500</v>
      </c>
    </row>
    <row r="268" spans="1:14" x14ac:dyDescent="0.2">
      <c r="A268" s="1274" t="s">
        <v>100</v>
      </c>
      <c r="B268" s="503">
        <v>2560</v>
      </c>
      <c r="C268" s="1673"/>
      <c r="D268" s="1573">
        <v>37399</v>
      </c>
      <c r="E268" s="1673"/>
      <c r="F268" s="1673"/>
      <c r="G268" s="1673"/>
      <c r="H268" s="1673"/>
      <c r="I268" s="1673"/>
      <c r="J268" s="1673"/>
      <c r="K268" s="1678">
        <f t="shared" si="22"/>
        <v>37399</v>
      </c>
      <c r="L268" s="1573">
        <v>27775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111083</v>
      </c>
      <c r="E270" s="1673"/>
      <c r="F270" s="1673"/>
      <c r="G270" s="1673"/>
      <c r="H270" s="1673"/>
      <c r="I270" s="1673"/>
      <c r="J270" s="1673"/>
      <c r="K270" s="1674">
        <f>SUM(K263:K269)</f>
        <v>111083</v>
      </c>
      <c r="L270" s="1674">
        <f>SUM(L263:L269)</f>
        <v>121975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152555</v>
      </c>
      <c r="E279" s="1673"/>
      <c r="F279" s="1673"/>
      <c r="G279" s="1673"/>
      <c r="H279" s="1673"/>
      <c r="I279" s="1673"/>
      <c r="J279" s="1673"/>
      <c r="K279" s="1681">
        <f>SUM(K238,K243,K257,K261,K270,K277,K278)</f>
        <v>152555</v>
      </c>
      <c r="L279" s="1681">
        <f>SUM(L238,L243,L257,L261,L270,L277,L278)</f>
        <v>173675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255713</v>
      </c>
      <c r="E295" s="1673"/>
      <c r="F295" s="1673"/>
      <c r="G295" s="1673"/>
      <c r="H295" s="1674">
        <f>H293</f>
        <v>0</v>
      </c>
      <c r="I295" s="1673"/>
      <c r="J295" s="1673"/>
      <c r="K295" s="1674">
        <f>SUM(K229,K279,K280,K285,K293,K294)</f>
        <v>255713</v>
      </c>
      <c r="L295" s="1674">
        <f>SUM(L229,L279,L280,L285,L293,L294)</f>
        <v>273970</v>
      </c>
    </row>
    <row r="296" spans="1:14" ht="13.5" thickTop="1" x14ac:dyDescent="0.2">
      <c r="A296" s="2286" t="s">
        <v>989</v>
      </c>
      <c r="B296" s="2287"/>
      <c r="C296" s="1673"/>
      <c r="D296" s="1675"/>
      <c r="E296" s="1673"/>
      <c r="F296" s="1673"/>
      <c r="G296" s="1673"/>
      <c r="H296" s="1707"/>
      <c r="I296" s="1673"/>
      <c r="J296" s="1673"/>
      <c r="K296" s="1689">
        <f>'Revenues 9-14'!G268-'Expenditures 15-22'!K295</f>
        <v>32897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280</v>
      </c>
      <c r="C320" s="1574">
        <v>0</v>
      </c>
      <c r="D320" s="1574">
        <v>0</v>
      </c>
      <c r="E320" s="1574">
        <v>37193</v>
      </c>
      <c r="F320" s="1574">
        <v>0</v>
      </c>
      <c r="G320" s="1574">
        <v>0</v>
      </c>
      <c r="H320" s="1574">
        <v>0</v>
      </c>
      <c r="I320" s="1574">
        <v>0</v>
      </c>
      <c r="J320" s="1574">
        <v>0</v>
      </c>
      <c r="K320" s="1672">
        <f t="shared" ref="K320:K327" si="24">SUM(C320:J320)</f>
        <v>37193</v>
      </c>
      <c r="L320" s="1574">
        <v>40000</v>
      </c>
      <c r="M320" s="539"/>
      <c r="N320" s="539"/>
    </row>
    <row r="321" spans="1:14" s="548" customFormat="1" x14ac:dyDescent="0.2">
      <c r="A321" s="1289" t="s">
        <v>297</v>
      </c>
      <c r="B321" s="567" t="s">
        <v>281</v>
      </c>
      <c r="C321" s="1574">
        <v>0</v>
      </c>
      <c r="D321" s="1574">
        <v>0</v>
      </c>
      <c r="E321" s="1574">
        <v>17996</v>
      </c>
      <c r="F321" s="1574">
        <v>0</v>
      </c>
      <c r="G321" s="1574">
        <v>0</v>
      </c>
      <c r="H321" s="1574">
        <v>0</v>
      </c>
      <c r="I321" s="1574">
        <v>0</v>
      </c>
      <c r="J321" s="1574">
        <v>0</v>
      </c>
      <c r="K321" s="1672">
        <f t="shared" si="24"/>
        <v>17996</v>
      </c>
      <c r="L321" s="1574">
        <v>1700</v>
      </c>
      <c r="M321" s="539"/>
      <c r="N321" s="539"/>
    </row>
    <row r="322" spans="1:14" s="548" customFormat="1" x14ac:dyDescent="0.2">
      <c r="A322" s="1289" t="s">
        <v>236</v>
      </c>
      <c r="B322" s="567" t="s">
        <v>282</v>
      </c>
      <c r="C322" s="1574">
        <v>0</v>
      </c>
      <c r="D322" s="1574">
        <v>0</v>
      </c>
      <c r="E322" s="1574">
        <v>32573</v>
      </c>
      <c r="F322" s="1574">
        <v>0</v>
      </c>
      <c r="G322" s="1574">
        <v>0</v>
      </c>
      <c r="H322" s="1574">
        <v>0</v>
      </c>
      <c r="I322" s="1574">
        <v>0</v>
      </c>
      <c r="J322" s="1574">
        <v>0</v>
      </c>
      <c r="K322" s="1672">
        <f t="shared" si="24"/>
        <v>32573</v>
      </c>
      <c r="L322" s="1574">
        <v>25000</v>
      </c>
      <c r="M322" s="539"/>
      <c r="N322" s="539"/>
    </row>
    <row r="323" spans="1:14" s="548" customFormat="1" x14ac:dyDescent="0.2">
      <c r="A323" s="1289" t="s">
        <v>697</v>
      </c>
      <c r="B323" s="567" t="s">
        <v>283</v>
      </c>
      <c r="C323" s="1574">
        <v>0</v>
      </c>
      <c r="D323" s="1574">
        <v>0</v>
      </c>
      <c r="E323" s="1574">
        <v>8294</v>
      </c>
      <c r="F323" s="1574">
        <v>0</v>
      </c>
      <c r="G323" s="1574">
        <v>0</v>
      </c>
      <c r="H323" s="1574">
        <v>0</v>
      </c>
      <c r="I323" s="1574">
        <v>0</v>
      </c>
      <c r="J323" s="1574">
        <v>0</v>
      </c>
      <c r="K323" s="1672">
        <f t="shared" si="24"/>
        <v>8294</v>
      </c>
      <c r="L323" s="1574">
        <v>8000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162868</v>
      </c>
      <c r="D325" s="1574">
        <v>0</v>
      </c>
      <c r="E325" s="1574">
        <v>0</v>
      </c>
      <c r="F325" s="1574">
        <v>0</v>
      </c>
      <c r="G325" s="1574">
        <v>0</v>
      </c>
      <c r="H325" s="1574">
        <v>0</v>
      </c>
      <c r="I325" s="1574">
        <v>0</v>
      </c>
      <c r="J325" s="1574">
        <v>0</v>
      </c>
      <c r="K325" s="1672">
        <f t="shared" si="24"/>
        <v>162868</v>
      </c>
      <c r="L325" s="1574">
        <v>167621</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116373</v>
      </c>
      <c r="F327" s="1574">
        <v>0</v>
      </c>
      <c r="G327" s="1574">
        <v>0</v>
      </c>
      <c r="H327" s="1574">
        <v>0</v>
      </c>
      <c r="I327" s="1574">
        <v>0</v>
      </c>
      <c r="J327" s="1574">
        <v>0</v>
      </c>
      <c r="K327" s="1672">
        <f t="shared" si="24"/>
        <v>116373</v>
      </c>
      <c r="L327" s="1574">
        <v>18000</v>
      </c>
      <c r="M327" s="539"/>
      <c r="N327" s="539"/>
    </row>
    <row r="328" spans="1:14" s="548" customFormat="1" x14ac:dyDescent="0.2">
      <c r="A328" s="1290" t="s">
        <v>469</v>
      </c>
      <c r="B328" s="562" t="s">
        <v>1122</v>
      </c>
      <c r="C328" s="1579">
        <v>0</v>
      </c>
      <c r="D328" s="1579">
        <v>0</v>
      </c>
      <c r="E328" s="1579">
        <v>36709</v>
      </c>
      <c r="F328" s="1579">
        <v>0</v>
      </c>
      <c r="G328" s="1579">
        <v>0</v>
      </c>
      <c r="H328" s="1579">
        <v>0</v>
      </c>
      <c r="I328" s="1579">
        <v>0</v>
      </c>
      <c r="J328" s="1579">
        <v>0</v>
      </c>
      <c r="K328" s="1713">
        <f>SUM(C328:J328)</f>
        <v>36709</v>
      </c>
      <c r="L328" s="1579">
        <v>30000</v>
      </c>
      <c r="M328" s="539"/>
      <c r="N328" s="539"/>
    </row>
    <row r="329" spans="1:14" s="548" customFormat="1" x14ac:dyDescent="0.2">
      <c r="A329" s="1290" t="s">
        <v>1123</v>
      </c>
      <c r="B329" s="562" t="s">
        <v>1124</v>
      </c>
      <c r="C329" s="1579">
        <v>0</v>
      </c>
      <c r="D329" s="1579">
        <v>0</v>
      </c>
      <c r="E329" s="1579">
        <v>18424</v>
      </c>
      <c r="F329" s="1579">
        <v>0</v>
      </c>
      <c r="G329" s="1579">
        <v>0</v>
      </c>
      <c r="H329" s="1579">
        <v>0</v>
      </c>
      <c r="I329" s="1579">
        <v>0</v>
      </c>
      <c r="J329" s="1579">
        <v>0</v>
      </c>
      <c r="K329" s="1713">
        <f>SUM(C329:J329)</f>
        <v>18424</v>
      </c>
      <c r="L329" s="1579">
        <v>14500</v>
      </c>
      <c r="M329" s="539"/>
      <c r="N329" s="539"/>
    </row>
    <row r="330" spans="1:14" s="548" customFormat="1" ht="12.75" customHeight="1" thickBot="1" x14ac:dyDescent="0.25">
      <c r="A330" s="1401" t="s">
        <v>712</v>
      </c>
      <c r="B330" s="1381" t="s">
        <v>565</v>
      </c>
      <c r="C330" s="1674">
        <f>SUM(C319:C329)</f>
        <v>162868</v>
      </c>
      <c r="D330" s="1674">
        <f t="shared" ref="D330:J330" si="25">SUM(D319:D329)</f>
        <v>0</v>
      </c>
      <c r="E330" s="1674">
        <f t="shared" si="25"/>
        <v>267562</v>
      </c>
      <c r="F330" s="1674">
        <f t="shared" si="25"/>
        <v>0</v>
      </c>
      <c r="G330" s="1674">
        <f t="shared" si="25"/>
        <v>0</v>
      </c>
      <c r="H330" s="1674">
        <f t="shared" si="25"/>
        <v>0</v>
      </c>
      <c r="I330" s="1674">
        <f t="shared" si="25"/>
        <v>0</v>
      </c>
      <c r="J330" s="1674">
        <f t="shared" si="25"/>
        <v>0</v>
      </c>
      <c r="K330" s="1674">
        <f>SUM(K319:K329)</f>
        <v>430430</v>
      </c>
      <c r="L330" s="1674">
        <f>SUM(L319:L329)</f>
        <v>304821</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162868</v>
      </c>
      <c r="D342" s="1674">
        <f>SUM(D330)</f>
        <v>0</v>
      </c>
      <c r="E342" s="1674">
        <f>SUM(E330)</f>
        <v>267562</v>
      </c>
      <c r="F342" s="1674">
        <f>SUM(F330)</f>
        <v>0</v>
      </c>
      <c r="G342" s="1674">
        <f>SUM(G330)</f>
        <v>0</v>
      </c>
      <c r="H342" s="1674">
        <f>SUM(H330,H334,H340)</f>
        <v>0</v>
      </c>
      <c r="I342" s="1674">
        <f>SUM(I330)</f>
        <v>0</v>
      </c>
      <c r="J342" s="1674">
        <f>SUM(J330)</f>
        <v>0</v>
      </c>
      <c r="K342" s="1674">
        <f>SUM(K330,K334,K340)</f>
        <v>430430</v>
      </c>
      <c r="L342" s="1681">
        <f>SUM(L330,L334,L340,L341)</f>
        <v>304821</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-151191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155060</v>
      </c>
      <c r="H349" s="1573">
        <v>0</v>
      </c>
      <c r="I349" s="1574">
        <v>0</v>
      </c>
      <c r="J349" s="1574">
        <v>0</v>
      </c>
      <c r="K349" s="1672">
        <f>SUM(C349:J349)</f>
        <v>155060</v>
      </c>
      <c r="L349" s="1573">
        <v>162000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155060</v>
      </c>
      <c r="H350" s="1674">
        <f t="shared" si="26"/>
        <v>0</v>
      </c>
      <c r="I350" s="1674">
        <f t="shared" si="26"/>
        <v>0</v>
      </c>
      <c r="J350" s="1674">
        <f t="shared" si="26"/>
        <v>0</v>
      </c>
      <c r="K350" s="1674">
        <f t="shared" si="26"/>
        <v>155060</v>
      </c>
      <c r="L350" s="1674">
        <f t="shared" si="26"/>
        <v>162000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155060</v>
      </c>
      <c r="H352" s="1674">
        <f t="shared" si="27"/>
        <v>0</v>
      </c>
      <c r="I352" s="1674">
        <f t="shared" si="27"/>
        <v>0</v>
      </c>
      <c r="J352" s="1674">
        <f t="shared" si="27"/>
        <v>0</v>
      </c>
      <c r="K352" s="1674">
        <f t="shared" si="27"/>
        <v>155060</v>
      </c>
      <c r="L352" s="1674">
        <f t="shared" si="27"/>
        <v>162000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155060</v>
      </c>
      <c r="H367" s="1674">
        <f t="shared" si="28"/>
        <v>0</v>
      </c>
      <c r="I367" s="1674">
        <f t="shared" si="28"/>
        <v>0</v>
      </c>
      <c r="J367" s="1674">
        <f t="shared" si="28"/>
        <v>0</v>
      </c>
      <c r="K367" s="1674">
        <f t="shared" si="28"/>
        <v>155060</v>
      </c>
      <c r="L367" s="1674">
        <f t="shared" si="28"/>
        <v>162000</v>
      </c>
    </row>
    <row r="368" spans="1:14" ht="13.5" thickTop="1" x14ac:dyDescent="0.2">
      <c r="A368" s="2286" t="s">
        <v>989</v>
      </c>
      <c r="B368" s="2287"/>
      <c r="C368" s="1694"/>
      <c r="D368" s="1694"/>
      <c r="E368" s="1677"/>
      <c r="F368" s="1677"/>
      <c r="G368" s="1677"/>
      <c r="H368" s="1677"/>
      <c r="I368" s="1677"/>
      <c r="J368" s="1676"/>
      <c r="K368" s="1672">
        <f>'Revenues 9-14'!K268-'Expenditures 15-22'!K367</f>
        <v>-72235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4d435f69-8686-490b-bd6d-b153bf22ab50"/>
    <ds:schemaRef ds:uri="http://purl.org/dc/elements/1.1/"/>
    <ds:schemaRef ds:uri="d21dc803-237d-4c68-8692-8d731fd29118"/>
    <ds:schemaRef ds:uri="http://schemas.microsoft.com/office/2006/documentManagement/types"/>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2020-10-07T14:55:05Z</cp:lastPrinted>
  <dcterms:created xsi:type="dcterms:W3CDTF">2003-10-29T19:06:34Z</dcterms:created>
  <dcterms:modified xsi:type="dcterms:W3CDTF">2020-10-19T15:09:04Z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