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2FB83AE-364F-4797-A3B8-FE7436D6CB0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5" r:id="rId32"/>
    <sheet name="Finding 2020-002" sheetId="188" r:id="rId33"/>
    <sheet name="SF&amp;QC Sec-3" sheetId="176" r:id="rId34"/>
    <sheet name="SSPAF" sheetId="177" r:id="rId35"/>
    <sheet name="CAP 2020-001" sheetId="190" r:id="rId36"/>
    <sheet name="CAP 2020-002" sheetId="189" r:id="rId37"/>
  </sheets>
  <definedNames>
    <definedName name="_xlnm._FilterDatabase" localSheetId="23" hidden="1">'AFR20'!$A$1:$F$7884</definedName>
    <definedName name="Finding">#REF!</definedName>
    <definedName name="goof">#REF!</definedName>
    <definedName name="New">#REF!</definedName>
    <definedName name="oops">#REF!</definedName>
    <definedName name="pass" localSheetId="36">#REF!</definedName>
    <definedName name="pass">#REF!</definedName>
    <definedName name="pass1" localSheetId="36">#REF!</definedName>
    <definedName name="pass1">#REF!</definedName>
    <definedName name="pass2" localSheetId="36">#REF!</definedName>
    <definedName name="pass2">#REF!</definedName>
    <definedName name="pass3" localSheetId="36">#REF!</definedName>
    <definedName name="pass3">#REF!</definedName>
    <definedName name="pass4" localSheetId="36">#REF!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J31" i="8" l="1"/>
  <c r="C10" i="188" l="1"/>
  <c r="B4" i="188"/>
  <c r="B4"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9"/>
  <c r="B2" i="179"/>
  <c r="B2" i="189"/>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G35" i="108" l="1"/>
  <c r="B6995" i="106"/>
  <c r="D6995" i="106" s="1"/>
  <c r="F42" i="34"/>
  <c r="D14" i="4"/>
  <c r="B2570" i="106" s="1"/>
  <c r="D2570" i="106" s="1"/>
  <c r="F50" i="34"/>
  <c r="F52" i="34"/>
  <c r="B7831" i="106" s="1"/>
  <c r="D7831" i="106" s="1"/>
  <c r="F69" i="34"/>
  <c r="D36" i="108"/>
  <c r="F56" i="34"/>
  <c r="B7832" i="106" s="1"/>
  <c r="D7832" i="106" s="1"/>
  <c r="H365" i="29"/>
  <c r="B7242" i="106" s="1"/>
  <c r="D7242" i="106" s="1"/>
  <c r="G30" i="108"/>
  <c r="B7047" i="106"/>
  <c r="D7047" i="106" s="1"/>
  <c r="H28" i="11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7" i="4" l="1"/>
  <c r="B4444" i="106" s="1"/>
  <c r="D4444" i="106" s="1"/>
  <c r="I151" i="29"/>
  <c r="F59" i="34" s="1"/>
  <c r="C151" i="29"/>
  <c r="B1226" i="106" s="1"/>
  <c r="D1226" i="106" s="1"/>
  <c r="C367" i="29"/>
  <c r="B3622" i="106" s="1"/>
  <c r="D3622" i="106" s="1"/>
  <c r="L16" i="11"/>
  <c r="B2061" i="106" s="1"/>
  <c r="D2061" i="106" s="1"/>
  <c r="B2031" i="106"/>
  <c r="D2031" i="106" s="1"/>
  <c r="J151" i="29"/>
  <c r="B7052" i="106" s="1"/>
  <c r="D7052" i="106" s="1"/>
  <c r="B7215" i="106"/>
  <c r="D7215"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D35" i="36"/>
  <c r="B3411" i="106"/>
  <c r="D3411" i="106" s="1"/>
  <c r="C13" i="3"/>
  <c r="E13" i="3"/>
  <c r="B131" i="106" s="1"/>
  <c r="D131" i="106" s="1"/>
  <c r="H24" i="118"/>
  <c r="K24" i="118" s="1"/>
  <c r="O23" i="118" s="1"/>
  <c r="O25" i="118"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<sst xmlns="http://schemas.openxmlformats.org/spreadsheetml/2006/main" count="5264" uniqueCount="2129">
  <si>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</si>
  <si>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</si>
  <si>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</si>
  <si>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</si>
  <si>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</si>
  <si>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</si>
  <si>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</si>
  <si>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</si>
  <si>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</si>
  <si>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</si>
  <si>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</si>
  <si>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</si>
  <si>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</si>
  <si>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</si>
  <si>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</si>
  <si>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</si>
  <si>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</si>
  <si>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</si>
  <si>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</si>
  <si>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</si>
  <si>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</si>
  <si>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</si>
  <si>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</si>
  <si>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</si>
  <si>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</si>
  <si>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</si>
  <si>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</si>
  <si>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</si>
  <si>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</si>
  <si>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</si>
  <si>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</si>
  <si>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</si>
  <si>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</si>
  <si>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</si>
  <si>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</si>
  <si>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</si>
  <si>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</si>
  <si>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</si>
  <si>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</si>
  <si>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</si>
  <si>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</si>
  <si>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</si>
  <si>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</si>
  <si>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</si>
  <si>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</si>
  <si>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</si>
  <si>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</si>
  <si>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</si>
  <si>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</si>
  <si>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</si>
  <si>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</si>
  <si>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</si>
  <si>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</si>
  <si>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</si>
  <si>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</si>
  <si>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</si>
  <si>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</si>
  <si>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</si>
  <si>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</si>
  <si>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</si>
  <si>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</si>
  <si>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</si>
  <si>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</si>
  <si>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</si>
  <si>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</si>
  <si>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</si>
  <si>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</si>
  <si>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</si>
  <si>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</si>
  <si>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</si>
  <si>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</si>
  <si>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</si>
  <si>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</si>
  <si>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</si>
  <si>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</si>
  <si>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</si>
  <si>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</si>
  <si>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</si>
  <si>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</si>
  <si>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</si>
  <si>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</si>
  <si>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</si>
  <si>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</si>
  <si>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</si>
  <si>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</si>
  <si>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</si>
  <si>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</si>
  <si>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</si>
  <si>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</si>
  <si>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</si>
  <si>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</si>
  <si>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</si>
  <si>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</si>
  <si>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</si>
  <si>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</si>
  <si>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</si>
  <si>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</si>
  <si>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</si>
  <si>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</si>
  <si>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</si>
  <si>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</si>
  <si>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</si>
  <si>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</si>
  <si>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</si>
  <si>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</si>
  <si>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</si>
  <si>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</si>
  <si>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</si>
  <si>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</si>
  <si>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</si>
  <si>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</si>
  <si>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</si>
  <si>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</si>
  <si>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</si>
  <si>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</si>
  <si>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</si>
  <si>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</si>
  <si>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</si>
  <si>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</si>
  <si>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</si>
  <si>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</si>
  <si>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</si>
  <si>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</si>
  <si>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</si>
  <si>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</si>
  <si>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</si>
  <si>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</si>
  <si>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</si>
  <si>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</si>
  <si>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</si>
  <si>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</si>
  <si>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</si>
  <si>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</si>
  <si>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</si>
  <si>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</si>
  <si>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</si>
  <si>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</si>
  <si>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</si>
  <si>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</si>
  <si>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</si>
  <si>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</si>
  <si>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</si>
  <si>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</si>
  <si>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</si>
  <si>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</si>
  <si>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</si>
  <si>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</si>
  <si>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</si>
  <si>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</si>
  <si>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</si>
  <si>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</si>
  <si>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</si>
  <si>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</si>
  <si>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</si>
  <si>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</si>
  <si>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</si>
  <si>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</si>
  <si>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</si>
  <si>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</si>
  <si>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</si>
  <si>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</si>
  <si>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</si>
  <si>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</si>
  <si>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</si>
  <si>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</si>
  <si>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</si>
  <si>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</si>
  <si>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</si>
  <si>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</si>
  <si>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</si>
  <si>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</si>
  <si>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</si>
  <si>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</si>
  <si>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</si>
  <si>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</si>
  <si>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</si>
  <si>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</si>
  <si>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</si>
  <si>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</si>
  <si>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</si>
  <si>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</si>
  <si>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</si>
  <si>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</si>
  <si>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</si>
  <si>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</si>
  <si>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</si>
  <si>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</si>
  <si>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</si>
  <si>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</si>
  <si>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</si>
  <si>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</si>
  <si>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</si>
  <si>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</si>
  <si>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</si>
  <si>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</si>
  <si>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</si>
  <si>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</si>
  <si>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</si>
  <si>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</si>
  <si>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</si>
  <si>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</si>
  <si>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</si>
  <si>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</si>
  <si>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</si>
  <si>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</si>
  <si>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</si>
  <si>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</si>
  <si>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</si>
  <si>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</si>
  <si>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</si>
  <si>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</si>
  <si>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</si>
  <si>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</si>
  <si>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</si>
  <si>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</si>
  <si>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</si>
  <si>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</si>
  <si>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</si>
  <si>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</si>
  <si>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</si>
  <si>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</si>
  <si>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</si>
  <si>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</si>
  <si>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</si>
  <si>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</si>
  <si>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</si>
  <si>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</si>
  <si>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</si>
  <si>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</si>
  <si>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</si>
  <si>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</si>
  <si>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</si>
  <si>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</si>
  <si>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</si>
  <si>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</si>
  <si>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</si>
  <si>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</si>
  <si>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</si>
  <si>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</si>
  <si>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</si>
  <si>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</si>
  <si>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</si>
  <si>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</si>
  <si>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</si>
  <si>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</si>
  <si>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</si>
  <si>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</si>
  <si>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</si>
  <si>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</si>
  <si>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</si>
  <si>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</si>
  <si>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</si>
  <si>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</si>
  <si>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</si>
  <si>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</si>
  <si>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</si>
  <si>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</si>
  <si>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</si>
  <si>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</si>
  <si>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</si>
  <si>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</si>
  <si>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</si>
  <si>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</si>
  <si>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</si>
  <si>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</si>
  <si>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</si>
  <si>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</si>
  <si>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</si>
  <si>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</si>
  <si>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</si>
  <si>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</si>
  <si>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</si>
  <si>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</si>
  <si>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</si>
  <si>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</si>
  <si>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</si>
  <si>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</si>
  <si>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</si>
  <si>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</si>
  <si>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</si>
  <si>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</si>
  <si>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</si>
  <si>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</si>
  <si>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</si>
  <si>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</si>
  <si>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</si>
  <si>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</si>
  <si>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</si>
  <si>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</si>
  <si>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</si>
  <si>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</si>
  <si>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</si>
  <si>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</si>
  <si>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</si>
  <si>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</si>
  <si>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</si>
  <si>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</si>
  <si>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</si>
  <si>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</si>
  <si>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</si>
  <si>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</si>
  <si>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</si>
  <si>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</si>
  <si>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</si>
  <si>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</si>
  <si>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</si>
  <si>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</si>
  <si>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</si>
  <si>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</si>
  <si>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</si>
  <si>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</si>
  <si>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</si>
  <si>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</si>
  <si>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</si>
  <si>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</si>
  <si>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</si>
  <si>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</si>
  <si>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</si>
  <si>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</si>
  <si>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</si>
  <si>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</si>
  <si>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</si>
  <si>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</si>
  <si>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</si>
  <si>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</si>
  <si>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</si>
  <si>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</si>
  <si>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</si>
  <si>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</si>
  <si>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</si>
  <si>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</si>
  <si>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</si>
  <si>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</si>
  <si>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</si>
  <si>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</si>
  <si>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</si>
  <si>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</si>
  <si>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</si>
  <si>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</si>
  <si>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</si>
  <si>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</si>
  <si>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</si>
  <si>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</si>
  <si>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</si>
  <si>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</si>
  <si>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</si>
  <si>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</si>
  <si>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</si>
  <si>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</si>
  <si>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</si>
  <si>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</si>
  <si>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</si>
  <si>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</si>
  <si>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</si>
  <si>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</si>
  <si>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</si>
  <si>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</si>
  <si>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</si>
  <si>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</si>
  <si>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</si>
  <si>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</si>
  <si>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</si>
  <si>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</si>
  <si>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</si>
  <si>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</si>
  <si>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</si>
  <si>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</si>
  <si>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</si>
  <si>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</si>
  <si>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</si>
  <si>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</si>
  <si>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</si>
  <si>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</si>
  <si>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</si>
  <si>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</si>
  <si>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</si>
  <si>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</si>
  <si>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</si>
  <si>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</si>
  <si>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</si>
  <si>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</si>
  <si>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</si>
  <si>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</si>
  <si>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</si>
  <si>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</si>
  <si>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</si>
  <si>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</si>
  <si>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</si>
  <si>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</si>
  <si>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</si>
  <si>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</si>
  <si>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</si>
  <si>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</si>
  <si>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</si>
  <si>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</si>
  <si>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</si>
  <si>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</si>
  <si>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</si>
  <si>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</si>
  <si>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</si>
  <si>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</si>
  <si>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</si>
  <si>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</si>
  <si>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</si>
  <si>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</si>
  <si>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</si>
  <si>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</si>
  <si>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</si>
  <si>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</si>
  <si>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</si>
  <si>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</si>
  <si>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</si>
  <si>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</si>
  <si>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</si>
  <si>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</si>
  <si>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</si>
  <si>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</si>
  <si>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</si>
  <si>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</si>
  <si>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</si>
  <si>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</si>
  <si>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</si>
  <si>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</si>
  <si>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</si>
  <si>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</si>
  <si>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</si>
  <si>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</si>
  <si>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</si>
  <si>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</si>
  <si>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</si>
  <si>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</si>
  <si>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</si>
  <si>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</si>
  <si>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</si>
  <si>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</si>
  <si>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</si>
  <si>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</si>
  <si>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</si>
  <si>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</si>
  <si>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</si>
  <si>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</si>
  <si>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</si>
  <si>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</si>
  <si>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</si>
  <si>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</si>
  <si>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</si>
  <si>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</si>
  <si>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</si>
  <si>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</si>
  <si>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</si>
  <si>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</si>
  <si>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</si>
  <si>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</si>
  <si>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</si>
  <si>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</si>
  <si>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</si>
  <si>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</si>
  <si>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</si>
  <si>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</si>
  <si>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</si>
  <si>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</si>
  <si>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</si>
  <si>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</si>
  <si>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</si>
  <si>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</si>
  <si>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</si>
  <si>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</si>
  <si>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</si>
  <si>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</si>
  <si>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</si>
  <si>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</si>
  <si>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</si>
  <si>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</si>
  <si>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</si>
  <si>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</si>
  <si>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</si>
  <si>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</si>
  <si>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</si>
  <si>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</si>
  <si>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</si>
  <si>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</si>
  <si>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</si>
  <si>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</si>
  <si>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</si>
  <si>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</si>
  <si>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</si>
  <si>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</si>
  <si>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</si>
  <si>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</si>
  <si>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</si>
  <si>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</si>
  <si>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</si>
  <si>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</si>
  <si>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</si>
  <si>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</si>
  <si>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</si>
  <si>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</si>
  <si>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</si>
  <si>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</si>
  <si>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</si>
  <si>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</si>
  <si>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</si>
  <si>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</si>
  <si>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</si>
  <si>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</si>
  <si>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</si>
  <si>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</si>
  <si>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</si>
  <si>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</si>
  <si>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</si>
  <si>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</si>
  <si>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</si>
  <si>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</si>
  <si>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</si>
  <si>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</si>
  <si>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</si>
  <si>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</si>
  <si>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</si>
  <si>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</si>
  <si>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</si>
  <si>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</si>
  <si>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</si>
  <si>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</si>
  <si>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</si>
  <si>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</si>
  <si>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</si>
  <si>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</si>
  <si>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</si>
  <si>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</si>
  <si>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</si>
  <si>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</si>
  <si>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</si>
  <si>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</si>
  <si>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</si>
  <si>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</si>
  <si>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</si>
  <si>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</si>
  <si>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</si>
  <si>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</si>
  <si>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</si>
  <si>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</si>
  <si>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</si>
  <si>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</si>
  <si>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</si>
  <si>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</si>
  <si>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</si>
  <si>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</si>
  <si>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</si>
  <si>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</si>
  <si>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</si>
  <si>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</si>
  <si>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</si>
  <si>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</si>
  <si>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</si>
  <si>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</si>
  <si>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</si>
  <si>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</si>
  <si>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</si>
  <si>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</si>
  <si>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</si>
  <si>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</si>
  <si>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</si>
  <si>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</si>
  <si>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</si>
  <si>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</si>
  <si>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</si>
  <si>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</si>
  <si>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</si>
  <si>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</si>
  <si>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</si>
  <si>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</si>
  <si>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</si>
  <si>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</si>
  <si>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</si>
  <si>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</si>
  <si>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</si>
  <si>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</si>
  <si>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</si>
  <si>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</si>
  <si>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</si>
  <si>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</si>
  <si>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</si>
  <si>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</si>
  <si>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</si>
  <si>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</si>
  <si>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</si>
  <si>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</si>
  <si>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</si>
  <si>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</si>
  <si>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</si>
  <si>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</si>
  <si>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</si>
  <si>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</si>
  <si>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</si>
  <si>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</si>
  <si>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</si>
  <si>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</si>
  <si>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</si>
  <si>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</si>
  <si>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</si>
  <si>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</si>
  <si>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</si>
  <si>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</si>
  <si>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</si>
  <si>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</si>
  <si>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</si>
  <si>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</si>
  <si>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</si>
  <si>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</si>
  <si>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</si>
  <si>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</si>
  <si>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</si>
  <si>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</si>
  <si>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</si>
  <si>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</si>
  <si>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</si>
  <si>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</si>
  <si>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</si>
  <si>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</si>
  <si>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</si>
  <si>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</si>
  <si>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</si>
  <si>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</si>
  <si>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</si>
  <si>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</si>
  <si>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</si>
  <si>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</si>
  <si>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</si>
  <si>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</si>
  <si>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</si>
  <si>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</si>
  <si>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</si>
  <si>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</si>
  <si>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</si>
  <si>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</si>
  <si>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</si>
  <si>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</si>
  <si>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</si>
  <si>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</si>
  <si>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</si>
  <si>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</si>
  <si>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</si>
  <si>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</si>
  <si>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</si>
  <si>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</si>
  <si>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</si>
  <si>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</si>
  <si>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</si>
  <si>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</si>
  <si>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</si>
  <si>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</si>
  <si>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</si>
  <si>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</si>
  <si>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</si>
  <si>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</si>
  <si>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</si>
  <si>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</si>
  <si>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</si>
  <si>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</si>
  <si>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</si>
  <si>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</si>
  <si>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</si>
  <si>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</si>
  <si>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</si>
  <si>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</si>
  <si>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</si>
  <si>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</si>
  <si>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</si>
  <si>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</si>
  <si>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</si>
  <si>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</si>
  <si>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</si>
  <si>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</si>
  <si>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</si>
  <si>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</si>
  <si>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</si>
  <si>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</si>
  <si>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</si>
  <si>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</si>
  <si>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</si>
  <si>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</si>
  <si>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</si>
  <si>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</si>
  <si>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</si>
  <si>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</si>
  <si>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</si>
  <si>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</si>
  <si>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</si>
  <si>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</si>
  <si>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</si>
  <si>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</si>
  <si>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</si>
  <si>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</si>
  <si>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</si>
  <si>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</si>
  <si>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</si>
  <si>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</si>
  <si>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</si>
  <si>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</si>
  <si>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</si>
  <si>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</si>
  <si>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</si>
  <si>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</si>
  <si>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</si>
  <si>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</si>
  <si>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</si>
  <si>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</si>
  <si>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</si>
  <si>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</si>
  <si>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</si>
  <si>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</si>
  <si>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</si>
  <si>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</si>
  <si>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</si>
  <si>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</si>
  <si>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</si>
  <si>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</si>
  <si>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</si>
  <si>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</si>
  <si>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</si>
  <si>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</si>
  <si>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</si>
  <si>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</si>
  <si>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</si>
  <si>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</si>
  <si>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</si>
  <si>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</si>
  <si>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</si>
  <si>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</si>
  <si>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</si>
  <si>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</si>
  <si>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</si>
  <si>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</si>
  <si>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</si>
  <si>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</si>
  <si>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</si>
  <si>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</si>
  <si>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</si>
  <si>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</si>
  <si>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</si>
  <si>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</si>
  <si>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</si>
  <si>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</si>
  <si>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</si>
  <si>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</si>
  <si>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</si>
  <si>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</si>
  <si>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</si>
  <si>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</si>
  <si>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</si>
  <si>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</si>
  <si>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</si>
  <si>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</si>
  <si>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</si>
  <si>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</si>
  <si>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</si>
  <si>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</si>
  <si>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</si>
  <si>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</si>
  <si>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</si>
  <si>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</si>
  <si>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</si>
  <si>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</si>
  <si>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</si>
  <si>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</si>
  <si>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</si>
  <si>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</si>
  <si>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</si>
  <si>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</si>
  <si>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</si>
  <si>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</si>
  <si>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</si>
  <si>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</si>
  <si>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</si>
  <si>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</si>
  <si>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</si>
  <si>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</si>
  <si>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</si>
  <si>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</si>
  <si>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</si>
  <si>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</si>
  <si>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</si>
  <si>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</si>
  <si>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</si>
  <si>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</si>
  <si>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</si>
  <si>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</si>
  <si>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</si>
  <si>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</si>
  <si>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</si>
  <si>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</si>
  <si>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</si>
  <si>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</si>
  <si>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</si>
  <si>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</si>
  <si>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</si>
  <si>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</si>
  <si>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</si>
  <si>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</si>
  <si>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</si>
  <si>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</si>
  <si>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</si>
  <si>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</si>
  <si>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</si>
  <si>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</si>
  <si>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</si>
  <si>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</si>
  <si>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</si>
  <si>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</si>
  <si>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</si>
  <si>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</si>
  <si>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</si>
  <si>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</si>
  <si>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</si>
  <si>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</si>
  <si>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</si>
  <si>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</si>
  <si>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</si>
  <si>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</si>
  <si>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</si>
  <si>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</si>
  <si>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</si>
  <si>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</si>
  <si>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</si>
  <si>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</si>
  <si>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</si>
  <si>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</si>
  <si>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</si>
  <si>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</si>
  <si>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</si>
  <si>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</si>
  <si>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</si>
  <si>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</si>
  <si>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</si>
  <si>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</si>
  <si>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</si>
  <si>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</si>
  <si>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</si>
  <si>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</si>
  <si>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</si>
  <si>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</si>
  <si>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</si>
  <si>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</si>
  <si>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</si>
  <si>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</si>
  <si>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</si>
  <si>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</si>
  <si>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</si>
  <si>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</si>
  <si>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</si>
  <si>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</si>
  <si>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</si>
  <si>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</si>
  <si>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</si>
  <si>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</si>
  <si>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</si>
  <si>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</si>
  <si>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</si>
  <si>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</si>
  <si>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</si>
  <si>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</si>
  <si>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</si>
  <si>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</si>
  <si>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</si>
  <si>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</si>
  <si>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</si>
  <si>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</si>
  <si>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</si>
  <si>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</si>
  <si>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</si>
  <si>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</si>
  <si>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</si>
  <si>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</si>
  <si>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</si>
  <si>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</si>
  <si>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</si>
  <si>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</si>
  <si>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</si>
  <si>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</si>
  <si>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</si>
  <si>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</si>
  <si>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</si>
  <si>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</si>
  <si>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</si>
  <si>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</si>
  <si>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</si>
  <si>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</si>
  <si>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</si>
  <si>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</si>
  <si>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</si>
  <si>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</si>
  <si>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</si>
  <si>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</si>
  <si>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</si>
  <si>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</si>
  <si>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</si>
  <si>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</si>
  <si>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</si>
  <si>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</si>
  <si>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</si>
  <si>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</si>
  <si>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</si>
  <si>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</si>
  <si>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</si>
  <si>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</si>
  <si>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</si>
  <si>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</si>
  <si>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</si>
  <si>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</si>
  <si>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</si>
  <si>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</si>
  <si>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</si>
  <si>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</si>
  <si>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</si>
  <si>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</si>
  <si>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</si>
  <si>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</si>
  <si>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</si>
  <si>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</si>
  <si>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</si>
  <si>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</si>
  <si>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</si>
  <si>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</si>
  <si>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</si>
  <si>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</si>
  <si>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</si>
  <si>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</si>
  <si>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</si>
  <si>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</si>
  <si>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</si>
  <si>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</si>
  <si>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</si>
  <si>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</si>
  <si>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</si>
  <si>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</si>
  <si>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</si>
  <si>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</si>
  <si>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</si>
  <si>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</si>
  <si>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</si>
  <si>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</si>
  <si>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</si>
  <si>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</si>
  <si>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</si>
  <si>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</si>
  <si>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</si>
  <si>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</si>
  <si>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</si>
  <si>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</si>
  <si>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</si>
  <si>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</si>
  <si>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</si>
  <si>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</si>
  <si>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</si>
  <si>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</si>
  <si>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</si>
  <si>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</si>
  <si>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</si>
  <si>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</si>
  <si>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</si>
  <si>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</si>
  <si>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</si>
  <si>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</si>
  <si>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</si>
  <si>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</si>
  <si>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</si>
  <si>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</si>
  <si>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</si>
  <si>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</si>
  <si>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</si>
  <si>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</si>
  <si>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</si>
  <si>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</si>
  <si>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</si>
  <si>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</si>
  <si>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</si>
  <si>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</si>
  <si>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</si>
  <si>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</si>
  <si>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</si>
  <si>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</si>
  <si>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</si>
  <si>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</si>
  <si>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</si>
  <si>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</si>
  <si>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</si>
  <si>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</si>
  <si>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</si>
  <si>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</si>
  <si>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</si>
  <si>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</si>
  <si>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</si>
  <si>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</si>
  <si>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</si>
  <si>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</si>
  <si>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</si>
  <si>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</si>
  <si>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</si>
  <si>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</si>
  <si>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</si>
  <si>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</si>
  <si>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</si>
  <si>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</si>
  <si>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</si>
  <si>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</si>
  <si>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</si>
  <si>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</si>
  <si>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</si>
  <si>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</si>
  <si>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</si>
  <si>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</si>
  <si>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</si>
  <si>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</si>
  <si>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</si>
  <si>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</si>
  <si>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</si>
  <si>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</si>
  <si>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</si>
  <si>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</si>
  <si>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</si>
  <si>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</si>
  <si>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</si>
  <si>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</si>
  <si>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</si>
  <si>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</si>
  <si>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</si>
  <si>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</si>
  <si>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</si>
  <si>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</si>
  <si>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</si>
  <si>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</si>
  <si>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</si>
  <si>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</si>
  <si>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</si>
  <si>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</si>
  <si>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</si>
  <si>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</si>
  <si>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</si>
  <si>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</si>
  <si>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</si>
  <si>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</si>
  <si>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</si>
  <si>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</si>
  <si>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</si>
  <si>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</si>
  <si>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</si>
  <si>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</si>
  <si>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</si>
  <si>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</si>
  <si>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</si>
  <si>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</si>
  <si>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</si>
  <si>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</si>
  <si>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</si>
  <si>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</si>
  <si>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</si>
  <si>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</si>
  <si>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</si>
  <si>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</si>
  <si>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</si>
  <si>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</si>
  <si>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</si>
  <si>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</si>
  <si>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</si>
  <si>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</si>
  <si>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</si>
  <si>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</si>
  <si>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</si>
  <si>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</si>
  <si>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</si>
  <si>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</si>
  <si>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</si>
  <si>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</si>
  <si>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</si>
  <si>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</si>
  <si>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</si>
  <si>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</si>
  <si>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</si>
  <si>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</si>
  <si>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</si>
  <si>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</si>
  <si>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</si>
  <si>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</si>
  <si>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</si>
  <si>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</si>
  <si>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</si>
  <si>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</si>
  <si>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</si>
  <si>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</si>
  <si>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</si>
  <si>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</si>
  <si>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</si>
  <si>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</si>
  <si>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</si>
  <si>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</si>
  <si>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</si>
  <si>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</si>
  <si>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</si>
  <si>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</si>
  <si>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</si>
  <si>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</si>
  <si>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</si>
  <si>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</si>
  <si>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</si>
  <si>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</si>
  <si>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</si>
  <si>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</si>
  <si>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</si>
  <si>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</si>
  <si>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</si>
  <si>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</si>
  <si>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</si>
  <si>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</si>
  <si>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</si>
  <si>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</si>
  <si>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</si>
  <si>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</si>
  <si>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</si>
  <si>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</si>
  <si>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</si>
  <si>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</si>
  <si>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</si>
  <si>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</si>
  <si>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</si>
  <si>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</si>
  <si>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</si>
  <si>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</si>
  <si>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</si>
  <si>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</si>
  <si>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</si>
  <si>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</si>
  <si>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</si>
  <si>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</si>
  <si>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</si>
  <si>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</si>
  <si>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</si>
  <si>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</si>
  <si>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</si>
  <si>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</si>
  <si>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</si>
  <si>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</si>
  <si>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</si>
  <si>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</si>
  <si>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</si>
  <si>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</si>
  <si>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</si>
  <si>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</si>
  <si>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</si>
  <si>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</si>
  <si>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</si>
  <si>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</si>
  <si>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</si>
  <si>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</si>
  <si>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</si>
  <si>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</si>
  <si>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</si>
  <si>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</si>
  <si>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</si>
  <si>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</si>
  <si>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</si>
  <si>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</si>
  <si>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</si>
  <si>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</si>
  <si>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</si>
  <si>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</si>
  <si>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</si>
  <si>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</si>
  <si>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</si>
  <si>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</si>
  <si>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</si>
  <si>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</si>
  <si>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</si>
  <si>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</si>
  <si>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</si>
  <si>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</si>
  <si>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</si>
  <si>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</si>
  <si>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</si>
  <si>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</si>
  <si>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</si>
  <si>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</si>
  <si>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</si>
  <si>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</si>
  <si>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</si>
  <si>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</si>
  <si>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</si>
  <si>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</si>
  <si>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</si>
  <si>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</si>
  <si>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</si>
  <si>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</si>
  <si>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</si>
  <si>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</si>
  <si>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</si>
  <si>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</si>
  <si>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</si>
  <si>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</si>
  <si>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</si>
  <si>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</si>
  <si>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</si>
  <si>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</si>
  <si>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</si>
  <si>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</si>
  <si>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</si>
  <si>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</si>
  <si>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</si>
  <si>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</si>
  <si>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</si>
  <si>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</si>
  <si>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</si>
  <si>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</si>
  <si>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</si>
  <si>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</si>
  <si>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</si>
  <si>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</si>
  <si>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</si>
  <si>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</si>
  <si>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</si>
  <si>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</si>
  <si>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</si>
  <si>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</si>
  <si>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</si>
  <si>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</si>
  <si>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</si>
  <si>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</si>
  <si>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</si>
  <si>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</si>
  <si>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</si>
  <si>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</si>
  <si>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</si>
  <si>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</si>
  <si>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</si>
  <si>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</si>
  <si>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</si>
  <si>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</si>
  <si>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</si>
  <si>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</si>
  <si>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</si>
  <si>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</si>
  <si>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</si>
  <si>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</si>
  <si>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</si>
  <si>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</si>
  <si>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</si>
  <si>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</si>
  <si>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</si>
  <si>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</si>
  <si>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</si>
  <si>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</si>
  <si>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</si>
  <si>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</si>
  <si>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</si>
  <si>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</si>
  <si>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</si>
  <si>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</si>
  <si>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</si>
  <si>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</si>
  <si>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</si>
  <si>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</si>
  <si>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</si>
  <si>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</si>
  <si>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</si>
  <si>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</si>
  <si>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</si>
  <si>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</si>
  <si>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</si>
  <si>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</si>
  <si>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</si>
  <si>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</si>
  <si>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</si>
  <si>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</si>
  <si>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</si>
  <si>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</si>
  <si>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</si>
  <si>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</si>
  <si>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</si>
  <si>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</si>
  <si>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</si>
  <si>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</si>
  <si>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</si>
  <si>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</si>
  <si>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</si>
  <si>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</si>
  <si>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</si>
  <si>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</si>
  <si>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</si>
  <si>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</si>
  <si>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</si>
  <si>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</si>
  <si>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</si>
  <si>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</si>
  <si>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</si>
  <si>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</si>
  <si>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</si>
  <si>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</si>
  <si>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</si>
  <si>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</si>
  <si>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</si>
  <si>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</si>
  <si>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</si>
  <si>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</si>
  <si>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</si>
  <si>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</si>
  <si>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</si>
  <si>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</si>
  <si>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</si>
  <si>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</si>
  <si>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</si>
  <si>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</si>
  <si>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</si>
  <si>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</si>
  <si>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</si>
  <si>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</si>
  <si>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</si>
  <si>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</si>
  <si>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</si>
  <si>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</si>
  <si>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</si>
  <si>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</si>
  <si>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</si>
  <si>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</si>
  <si>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</si>
  <si>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</si>
  <si>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</si>
  <si>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</si>
  <si>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</si>
  <si>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</si>
  <si>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</si>
  <si>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</si>
  <si>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</si>
  <si>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</si>
  <si>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</si>
  <si>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</si>
  <si>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</si>
  <si>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</si>
  <si>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</si>
  <si>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</si>
  <si>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</si>
  <si>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</si>
  <si>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</si>
  <si>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</si>
  <si>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</si>
  <si>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</si>
  <si>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</si>
  <si>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</si>
  <si>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</si>
  <si>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</si>
  <si>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</si>
  <si>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</si>
  <si>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</si>
  <si>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</si>
  <si>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</si>
  <si>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</si>
  <si>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</si>
  <si>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</si>
  <si>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</si>
  <si>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</si>
  <si>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</si>
  <si>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</si>
  <si>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</si>
  <si>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</si>
  <si>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</si>
  <si>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</si>
  <si>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</si>
  <si>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</si>
  <si>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</si>
  <si>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</si>
  <si>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</si>
  <si>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</si>
  <si>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</si>
  <si>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</si>
  <si>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</si>
  <si>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</si>
  <si>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</si>
  <si>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</si>
  <si>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</si>
  <si>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</si>
  <si>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</si>
  <si>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</si>
  <si>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</si>
  <si>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</si>
  <si>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</si>
  <si>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</si>
  <si>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</si>
  <si>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</si>
  <si>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</si>
  <si>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</si>
  <si>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</si>
  <si>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</si>
  <si>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</si>
  <si>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</si>
  <si>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</si>
  <si>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</si>
  <si>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</si>
  <si>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</si>
  <si>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</si>
  <si>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</si>
  <si>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</si>
  <si>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</si>
  <si>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</si>
  <si>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</si>
  <si>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</si>
  <si>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</si>
  <si>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</si>
  <si>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</si>
  <si>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</si>
  <si>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</si>
  <si>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</si>
  <si>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</si>
  <si>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</si>
  <si>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</si>
  <si>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</si>
  <si>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</si>
  <si>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</si>
  <si>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</si>
  <si>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</si>
  <si>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</si>
  <si>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</si>
  <si>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</si>
  <si>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</si>
  <si>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</si>
  <si>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</si>
  <si>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</si>
  <si>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</si>
  <si>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</si>
  <si>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</si>
  <si>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</si>
  <si>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</si>
  <si>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</si>
  <si>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</si>
  <si>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</si>
  <si>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</si>
  <si>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</si>
  <si>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</si>
  <si>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</si>
  <si>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</si>
  <si>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</si>
  <si>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</si>
  <si>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</si>
  <si>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</si>
  <si>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</si>
  <si>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</si>
  <si>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</si>
  <si>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</si>
  <si>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</si>
  <si>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</si>
  <si>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</si>
  <si>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</si>
  <si>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</si>
  <si>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</si>
  <si>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</si>
  <si>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</si>
  <si>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</si>
  <si>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</si>
  <si>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</si>
  <si>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</si>
  <si>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</si>
  <si>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</si>
  <si>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</si>
  <si>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</si>
  <si>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</si>
  <si>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</si>
  <si>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</si>
  <si>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</si>
  <si>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</si>
  <si>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</si>
  <si>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</si>
  <si>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</si>
  <si>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</si>
  <si>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</si>
  <si>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</si>
  <si>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</si>
  <si>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</si>
  <si>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</si>
  <si>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</si>
  <si>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</si>
  <si>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</si>
  <si>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</si>
  <si>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</si>
  <si>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</si>
  <si>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</si>
  <si>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</si>
  <si>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</si>
  <si>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</si>
  <si>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</si>
  <si>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</si>
  <si>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</si>
  <si>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</si>
  <si>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</si>
  <si>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</si>
  <si>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</si>
  <si>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</si>
  <si>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</si>
  <si>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</si>
  <si>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</si>
  <si>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</si>
  <si>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</si>
  <si>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</si>
  <si>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</si>
  <si>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</si>
  <si>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</si>
  <si>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</si>
  <si>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</si>
  <si>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</si>
  <si>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</si>
  <si>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</si>
  <si>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</si>
  <si>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</si>
  <si>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</si>
  <si>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</si>
  <si>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</si>
  <si>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</si>
  <si>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</si>
  <si>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</si>
  <si>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</si>
  <si>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</si>
  <si>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</si>
  <si>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</si>
  <si>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</si>
  <si>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</si>
  <si>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</si>
  <si>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</si>
  <si>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</si>
  <si>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</si>
  <si>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</si>
  <si>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</si>
  <si>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</si>
  <si>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</si>
  <si>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</si>
  <si>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</si>
  <si>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</si>
  <si>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</si>
  <si>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</si>
  <si>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</si>
  <si>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</si>
  <si>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</si>
  <si>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</si>
  <si>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</si>
  <si>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</si>
  <si>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</si>
  <si>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</si>
  <si>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</si>
  <si>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</si>
  <si>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</si>
  <si>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</si>
  <si>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</si>
  <si>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</si>
  <si>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</si>
  <si>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</si>
  <si>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</si>
  <si>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</si>
  <si>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</si>
  <si>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</si>
  <si>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</si>
  <si>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</si>
  <si>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</si>
  <si>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</si>
  <si>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</si>
  <si>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</si>
  <si>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</si>
  <si>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</si>
  <si>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</si>
  <si>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</si>
  <si>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</si>
  <si>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</si>
  <si>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</si>
  <si>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</si>
  <si>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</si>
  <si>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</si>
  <si>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</si>
  <si>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</si>
  <si>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</si>
  <si>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</si>
  <si>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</si>
  <si>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</si>
  <si>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</si>
  <si>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</si>
  <si>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</si>
  <si>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</si>
  <si>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</si>
  <si>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</si>
  <si>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</si>
  <si>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</si>
  <si>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</si>
  <si>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</si>
  <si>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</si>
  <si>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</si>
  <si>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</si>
  <si>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</si>
  <si>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</si>
  <si>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</si>
  <si>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</si>
  <si>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</si>
  <si>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</si>
  <si>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</si>
  <si>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</si>
  <si>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</si>
  <si>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</si>
  <si>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</si>
  <si>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</si>
  <si>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</si>
  <si>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</si>
  <si>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</si>
  <si>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</si>
  <si>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</si>
  <si>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</si>
  <si>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</si>
  <si>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</si>
  <si>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</si>
  <si>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</si>
  <si>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</si>
  <si>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</si>
  <si>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</si>
  <si>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</si>
  <si>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</si>
  <si>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</si>
  <si>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</si>
  <si>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</si>
  <si>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</si>
  <si>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</si>
  <si>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</si>
  <si>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</si>
  <si>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</si>
  <si>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</si>
  <si>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</si>
  <si>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</si>
  <si>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</si>
  <si>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</si>
  <si>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</si>
  <si>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</si>
  <si>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</si>
  <si>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</si>
  <si>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</si>
  <si>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</si>
  <si>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</si>
  <si>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</si>
  <si>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</si>
  <si>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</si>
  <si>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</si>
  <si>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</si>
  <si>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</si>
  <si>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</si>
  <si>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</si>
  <si>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</si>
  <si>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</si>
  <si>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</si>
  <si>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</si>
  <si>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</si>
  <si>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</si>
  <si>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</si>
  <si>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</si>
  <si>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</si>
  <si>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</si>
  <si>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</si>
  <si>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</si>
  <si>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</si>
  <si>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</si>
  <si>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</si>
  <si>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</si>
  <si>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</si>
  <si>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</si>
  <si>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</si>
  <si>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</si>
  <si>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</si>
  <si>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</si>
  <si>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</si>
  <si>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</si>
  <si>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</si>
  <si>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</si>
  <si>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</si>
  <si>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</si>
  <si>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</si>
  <si>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</si>
  <si>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</si>
  <si>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</si>
  <si>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</si>
  <si>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</si>
  <si>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</si>
  <si>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</si>
  <si>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</si>
  <si>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</si>
  <si>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</si>
  <si>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</si>
  <si>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</si>
  <si>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</si>
  <si>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</si>
  <si>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</si>
  <si>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</si>
  <si>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</si>
  <si>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</si>
  <si>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</si>
  <si>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</si>
  <si>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</si>
  <si>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</si>
  <si>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</si>
  <si>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</si>
  <si>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</si>
  <si>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</si>
  <si>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</si>
  <si>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</si>
  <si>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</si>
  <si>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</si>
  <si>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</si>
  <si>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</si>
  <si>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</si>
  <si>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</si>
  <si>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</si>
  <si>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</si>
  <si>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</si>
  <si>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</si>
  <si>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</si>
  <si>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</si>
  <si>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</si>
  <si>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</si>
  <si>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</si>
  <si>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</si>
  <si>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</si>
  <si>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</si>
  <si>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</si>
  <si>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</si>
  <si>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</si>
  <si>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</si>
  <si>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</si>
  <si>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</si>
  <si>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</si>
  <si>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</si>
  <si>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</si>
  <si>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</si>
  <si>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</si>
  <si>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</si>
  <si>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</si>
  <si>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</si>
  <si>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</si>
  <si>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</si>
  <si>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</si>
  <si>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</si>
  <si>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</si>
  <si>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</si>
  <si>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</si>
  <si>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</si>
  <si>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</si>
  <si>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</si>
  <si>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</si>
  <si>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</si>
  <si>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</si>
  <si>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</si>
  <si>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</si>
  <si>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</si>
  <si>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</si>
  <si>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</si>
  <si>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</si>
  <si>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</si>
  <si>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</si>
  <si>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</si>
  <si>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</si>
  <si>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</si>
  <si>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</si>
  <si>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</si>
  <si>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</si>
  <si>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</si>
  <si>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</si>
  <si>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</si>
  <si>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</si>
  <si>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</si>
  <si>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</si>
  <si>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</si>
  <si>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</si>
  <si>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</si>
  <si>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</si>
  <si>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</si>
  <si>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</si>
  <si>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</si>
  <si>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</si>
  <si>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</si>
  <si>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</si>
  <si>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</si>
  <si>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</si>
  <si>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</si>
  <si>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</si>
  <si>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</si>
  <si>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</si>
  <si>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</si>
  <si>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</si>
  <si>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</si>
  <si>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</si>
  <si>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</si>
  <si>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</si>
  <si>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</si>
  <si>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</si>
  <si>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</si>
  <si>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</si>
  <si>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</si>
  <si>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</si>
  <si>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</si>
  <si>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</si>
  <si>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</si>
  <si>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</si>
  <si>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</si>
  <si>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</si>
  <si>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</si>
  <si>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</si>
  <si>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</si>
  <si>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</si>
  <si>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</si>
  <si>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</si>
  <si>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</si>
  <si>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</si>
  <si>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</si>
  <si>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</si>
  <si>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</si>
  <si>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</si>
  <si>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</si>
  <si>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</si>
  <si>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</si>
  <si>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</si>
  <si>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</si>
  <si>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</si>
  <si>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</si>
  <si>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</si>
  <si>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</si>
  <si>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</si>
  <si>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</si>
  <si>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</si>
  <si>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</si>
  <si>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</si>
  <si>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</si>
  <si>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</si>
  <si>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</si>
  <si>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</si>
  <si>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</si>
  <si>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</si>
  <si>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</si>
  <si>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</si>
  <si>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</si>
  <si>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</si>
  <si>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</si>
  <si>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</si>
  <si>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</si>
  <si>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</si>
  <si>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</si>
  <si>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</si>
  <si>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</si>
  <si>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</si>
  <si>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</si>
  <si>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</si>
  <si>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</si>
  <si>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</si>
  <si>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</si>
  <si>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</si>
  <si>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</si>
  <si>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</si>
  <si>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</si>
  <si>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</si>
  <si>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</si>
  <si>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</si>
  <si>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</si>
  <si>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</si>
  <si>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</si>
  <si>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</si>
  <si>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</si>
  <si>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</si>
  <si>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</si>
  <si>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</si>
  <si>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</si>
  <si>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</si>
  <si>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</si>
  <si>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</si>
  <si>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</si>
  <si>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</si>
  <si>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</si>
  <si>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</si>
  <si>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</si>
  <si>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</si>
  <si>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</si>
  <si>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</si>
  <si>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</si>
  <si>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</si>
  <si>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</si>
  <si>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</si>
  <si>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</si>
  <si>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</si>
  <si>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</si>
  <si>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</si>
  <si>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</si>
  <si>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</si>
  <si>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</si>
  <si>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</si>
  <si>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</si>
  <si>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</si>
  <si>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</si>
  <si>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</si>
  <si>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</si>
  <si>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</si>
  <si>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</si>
  <si>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</si>
  <si>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</si>
  <si>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</si>
  <si>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</si>
  <si>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</si>
  <si>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</si>
  <si>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</si>
  <si>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</si>
  <si>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</si>
  <si>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</si>
  <si>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</si>
  <si>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</si>
  <si>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</si>
  <si>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</si>
  <si>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</si>
  <si>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</si>
  <si>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</si>
  <si>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</si>
  <si>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</si>
  <si>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</si>
  <si>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</si>
  <si>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</si>
  <si>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</si>
  <si>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</si>
  <si>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</si>
  <si>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</si>
  <si>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</si>
  <si>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</si>
  <si>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</si>
  <si>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</si>
  <si>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</si>
  <si>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</si>
  <si>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</si>
  <si>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</si>
  <si>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</si>
  <si>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</si>
  <si>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</si>
  <si>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</si>
  <si>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</si>
  <si>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</si>
  <si>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</si>
  <si>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</si>
  <si>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</si>
  <si>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</si>
  <si>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</si>
  <si>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</si>
  <si>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</si>
  <si>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</si>
  <si>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</si>
  <si>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</si>
  <si>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</si>
  <si>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</si>
  <si>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</si>
  <si>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</si>
  <si>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</si>
  <si>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</si>
  <si>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</si>
  <si>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</si>
  <si>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</si>
  <si>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</si>
  <si>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</si>
  <si>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</si>
  <si>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</si>
  <si>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</si>
  <si>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</si>
  <si>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</si>
  <si>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</si>
  <si>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</si>
  <si>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</si>
  <si>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</si>
  <si>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</si>
  <si>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</si>
  <si>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</si>
  <si>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</si>
  <si>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</si>
  <si>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</si>
  <si>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</si>
  <si>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</si>
  <si>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</si>
  <si>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</si>
  <si>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</si>
  <si>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</si>
  <si>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</si>
  <si>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</si>
  <si>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</si>
  <si>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</si>
  <si>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</si>
  <si>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</si>
  <si>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</si>
  <si>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</si>
  <si>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</si>
  <si>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</si>
  <si>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</si>
  <si>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</si>
  <si>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</si>
  <si>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</si>
  <si>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</si>
  <si>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</si>
  <si>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</si>
  <si>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</si>
  <si>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</si>
  <si>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</si>
  <si>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</si>
  <si>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</si>
  <si>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</si>
  <si>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</si>
  <si>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</si>
  <si>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</si>
  <si>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</si>
  <si>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</si>
  <si>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</si>
  <si>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</si>
  <si>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</si>
  <si>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</si>
  <si>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</si>
  <si>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</si>
  <si>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</si>
  <si>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</si>
  <si>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</si>
  <si>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</si>
  <si>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</si>
  <si>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</si>
  <si>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</si>
  <si>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</si>
  <si>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</si>
  <si>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</si>
  <si>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</si>
  <si>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</si>
  <si>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</si>
  <si>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</si>
  <si>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</si>
  <si>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</si>
  <si>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</si>
  <si>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</si>
  <si>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</si>
  <si>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</si>
  <si>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</si>
  <si>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</si>
  <si>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</si>
  <si>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</si>
  <si>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</si>
  <si>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</si>
  <si>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</si>
  <si>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</si>
  <si>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</si>
  <si>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</si>
  <si>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</si>
  <si>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</si>
  <si>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</si>
  <si>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</si>
  <si>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</si>
  <si>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</si>
  <si>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</si>
  <si>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</si>
  <si>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</si>
  <si>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</si>
  <si>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</si>
  <si>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</si>
  <si>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</si>
  <si>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</si>
  <si>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</si>
  <si>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</si>
  <si>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</si>
  <si>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</si>
  <si>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</si>
  <si>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</si>
  <si>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LaSalle/DeKalb</t>
  </si>
  <si>
    <t>Leland Community Unit School District No. 1</t>
  </si>
  <si>
    <t>370 North Main Street</t>
  </si>
  <si>
    <t>Leland</t>
  </si>
  <si>
    <t>jmoore@leland1.org</t>
  </si>
  <si>
    <t>Jodi Moore</t>
  </si>
  <si>
    <t>815-495-3231</t>
  </si>
  <si>
    <t>815-495-4611</t>
  </si>
  <si>
    <t>Thomas R. Peffer, CPA</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</si>
  <si>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</si>
  <si>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</si>
  <si>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</si>
  <si>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</si>
  <si>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</si>
  <si>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</si>
  <si>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</si>
  <si>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2020-</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</si>
  <si>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</si>
  <si>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</si>
  <si>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</si>
  <si>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</si>
  <si>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</si>
  <si>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</si>
  <si>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</si>
  <si>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June 30, 2020</t>
  </si>
  <si>
    <t>Name of Contact Person:</t>
  </si>
  <si>
    <t>Jodi Moore, Superintendent</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</si>
  <si>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</si>
  <si>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</si>
  <si>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</si>
  <si>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</si>
  <si>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June 30, 2021</t>
  </si>
  <si>
    <t>2019-001</t>
  </si>
  <si>
    <t>Lack of Segregation of Duties</t>
  </si>
  <si>
    <t>Unresolved - See finding 2020-001</t>
  </si>
  <si>
    <t>In accordance with prescribed definitions in AU-C 265, it is a strong indication of a significant deficiency in internal control if an entity lacks sufficient controls over a significant account or process. The District has not reconciled the accounting records to supporting documents on a timely basis.</t>
  </si>
  <si>
    <t>District accounting staff performed monthly bank reconciliations but were unable to timely identify the differences between the accounting records and the bank statements.</t>
  </si>
  <si>
    <t>The District's bank account balances recorded in the accounting records were not reconciled to the monthly bank statements on a timely basis.</t>
  </si>
  <si>
    <t>The cash balances in the accounting records were also not reconciled to the monthly bank statements on a timely basis.  This can result in the misstatement of the District's accounting records and monthly financial statements.</t>
  </si>
  <si>
    <t>The District accounting staff were not able to timely identify variances between the bank statement and the accounting records of the District.</t>
  </si>
  <si>
    <t>The District's cash balances should be reconciled to the bank statements on a monthly basis.  Any discrepancies should be identified and any resulting entry to the accounting records should be entered on a timely basis.</t>
  </si>
  <si>
    <t>The District accounting staff performed bank reconciliations but could not identify variances between the banking records and accounting records in a timely manner.  The District will implement the auditor's recommendation.</t>
  </si>
  <si>
    <t>The District's bank account was not reconciled to the accounting records on a timely basis.</t>
  </si>
  <si>
    <t>A review of the procedures for reconciling the accounting records for cash to the monthly bank statements on a monthly basis. Existing procedures will be updated, or new procedures will potentially be added.</t>
  </si>
  <si>
    <t>The plan will be implemented.</t>
  </si>
  <si>
    <t>2020-001 - Segregation of Duties and 2020-002 - Untimely Bank Reconciliations</t>
  </si>
  <si>
    <t>Life Safety 2015</t>
  </si>
  <si>
    <t>4, 3</t>
  </si>
  <si>
    <t>None</t>
  </si>
  <si>
    <t>IGS Energy</t>
  </si>
  <si>
    <t>Peru, LaSalle, Oglesby, Dimmick, Deer Park, Tonica, Waltham</t>
  </si>
  <si>
    <t>L.E.A.S.E.</t>
  </si>
  <si>
    <t>Midwest Transit Equipment</t>
  </si>
  <si>
    <t>Area Career Center</t>
  </si>
  <si>
    <t>Page 9, Line 17 - Local Housing Authority (All Funds with dollar amounts)</t>
  </si>
  <si>
    <t>Page 10, Line 81 - Student Activity Fees (Music, Art, PE) and Field Trips ($15,708)</t>
  </si>
  <si>
    <t xml:space="preserve">Page 11, Line 107 - </t>
  </si>
  <si>
    <t>Page 10, Line 91 - Misc. Sales - Chromebook Sales ($220)</t>
  </si>
  <si>
    <t>Educational Fund - Treasury Reimbursement ($842)</t>
  </si>
  <si>
    <t>O&amp;M Fund - Misc. Revenue ($752)</t>
  </si>
  <si>
    <t>Page 12, Line 168 - Library Grant ($750)</t>
  </si>
  <si>
    <t>Page 12, Line 180 - REAP Grant ($21,768)</t>
  </si>
  <si>
    <t>Page 18, Line 171 - Bond Service Fees ($450)</t>
  </si>
  <si>
    <t>Audit Check Tab, Line 82 - "Please enter contracts paid in current year" - No qualifying contracts exceeding $25,000.</t>
  </si>
  <si>
    <t>tpeffer@gorenzcpa.com</t>
  </si>
  <si>
    <t>35-050-0010-26</t>
  </si>
  <si>
    <t>Year Ending June 30, 2020</t>
  </si>
  <si>
    <t>See PDF version</t>
  </si>
  <si>
    <t>Leland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</si>
</sst>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5" fillId="0" borderId="0" xfId="3" applyFont="1" applyAlignment="1" applyProtection="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11" fillId="0" borderId="0" xfId="3" quotePrefix="1" applyAlignment="1" applyProtection="1">
      <alignment horizontal="left" indent="2"/>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7">
        <f>+'AFR20'!E4</f>
        <v>44119</v>
      </c>
      <c r="C1" s="2167"/>
      <c r="D1" s="2168"/>
      <c r="I1" s="2126" t="s">
        <v>402</v>
      </c>
      <c r="J1" s="2127"/>
      <c r="K1" s="2127"/>
      <c r="L1" s="2127"/>
      <c r="M1" s="2127"/>
      <c r="N1" s="2127"/>
      <c r="O1" s="2127"/>
      <c r="P1" s="2127"/>
      <c r="Q1" s="2127"/>
      <c r="R1" s="2127"/>
      <c r="S1" s="2127"/>
    </row>
    <row r="2" spans="1:32" ht="12" customHeight="1" x14ac:dyDescent="0.2">
      <c r="A2" s="1830" t="str">
        <f>"Due to ISBE on "</f>
        <v xml:space="preserve">Due to ISBE on </v>
      </c>
      <c r="B2" s="2169">
        <f>+'AFR20'!F4</f>
        <v>44151</v>
      </c>
      <c r="C2" s="2169"/>
      <c r="D2" s="2170"/>
      <c r="I2" s="2128" t="s">
        <v>2003</v>
      </c>
      <c r="J2" s="2127"/>
      <c r="K2" s="2127"/>
      <c r="L2" s="2127"/>
      <c r="M2" s="2127"/>
      <c r="N2" s="2127"/>
      <c r="O2" s="2127"/>
      <c r="P2" s="2127"/>
      <c r="Q2" s="2127"/>
      <c r="R2" s="2127"/>
      <c r="S2" s="2127"/>
    </row>
    <row r="3" spans="1:32" ht="12" customHeight="1" x14ac:dyDescent="0.2">
      <c r="A3" s="1833"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2051</v>
      </c>
      <c r="C5" s="26" t="s">
        <v>904</v>
      </c>
      <c r="D5" s="81"/>
      <c r="E5" s="81"/>
      <c r="H5" s="38"/>
      <c r="I5" s="2136" t="s">
        <v>675</v>
      </c>
      <c r="J5" s="2135"/>
      <c r="K5" s="2135"/>
      <c r="L5" s="2135"/>
      <c r="M5" s="2135"/>
      <c r="N5" s="2135"/>
      <c r="O5" s="2135"/>
      <c r="P5" s="2135"/>
      <c r="Q5" s="2135"/>
      <c r="R5" s="2135"/>
      <c r="S5" s="2135"/>
      <c r="AF5" s="1826"/>
    </row>
    <row r="6" spans="1:32" ht="14.1" customHeight="1" x14ac:dyDescent="0.2">
      <c r="B6" s="101"/>
      <c r="C6" s="26" t="s">
        <v>905</v>
      </c>
      <c r="D6" s="81"/>
      <c r="E6" s="81"/>
      <c r="I6" s="2134" t="s">
        <v>877</v>
      </c>
      <c r="J6" s="2135"/>
      <c r="K6" s="2135"/>
      <c r="L6" s="2135"/>
      <c r="M6" s="2135"/>
      <c r="N6" s="2135"/>
      <c r="O6" s="2135"/>
      <c r="P6" s="2135"/>
      <c r="Q6" s="2135"/>
      <c r="R6" s="2135"/>
      <c r="S6" s="2135"/>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184" t="s">
        <v>530</v>
      </c>
      <c r="U9" s="2185"/>
      <c r="V9" s="2185"/>
      <c r="W9" s="2185"/>
      <c r="X9" s="2185"/>
      <c r="Y9" s="2185"/>
      <c r="Z9" s="2185"/>
      <c r="AA9" s="2186"/>
    </row>
    <row r="10" spans="1:32" ht="13.5" customHeight="1" x14ac:dyDescent="0.2">
      <c r="A10" s="2191" t="s">
        <v>670</v>
      </c>
      <c r="B10" s="2192"/>
      <c r="C10" s="2192"/>
      <c r="D10" s="2192"/>
      <c r="E10" s="2192"/>
      <c r="F10" s="2192"/>
      <c r="G10" s="2192"/>
      <c r="H10" s="2193"/>
      <c r="I10" s="29"/>
      <c r="J10" s="30"/>
      <c r="K10" s="28"/>
      <c r="R10" s="30"/>
      <c r="S10" s="30"/>
      <c r="T10" s="2187"/>
      <c r="U10" s="2135"/>
      <c r="V10" s="2135"/>
      <c r="W10" s="2135"/>
      <c r="X10" s="2135"/>
      <c r="Y10" s="2135"/>
      <c r="Z10" s="2135"/>
      <c r="AA10" s="2141"/>
    </row>
    <row r="11" spans="1:32" ht="14.25" customHeight="1" x14ac:dyDescent="0.2">
      <c r="A11" s="2194" t="s">
        <v>949</v>
      </c>
      <c r="B11" s="2195"/>
      <c r="C11" s="2195"/>
      <c r="D11" s="2195"/>
      <c r="E11" s="2195"/>
      <c r="F11" s="2195"/>
      <c r="G11" s="2195"/>
      <c r="H11" s="2196"/>
      <c r="I11" s="27"/>
      <c r="J11" s="71"/>
      <c r="K11" s="27"/>
      <c r="O11" s="144" t="s">
        <v>2051</v>
      </c>
      <c r="P11" s="97" t="s">
        <v>199</v>
      </c>
      <c r="Q11" s="30"/>
      <c r="R11" s="28"/>
      <c r="S11" s="27"/>
      <c r="T11" s="2188"/>
      <c r="U11" s="2189"/>
      <c r="V11" s="2189"/>
      <c r="W11" s="2189"/>
      <c r="X11" s="2189"/>
      <c r="Y11" s="2189"/>
      <c r="Z11" s="2189"/>
      <c r="AA11" s="219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47">
        <v>35050001026</v>
      </c>
      <c r="B13" s="2148"/>
      <c r="C13" s="2148"/>
      <c r="D13" s="2148"/>
      <c r="E13" s="2148"/>
      <c r="F13" s="2148"/>
      <c r="G13" s="2148"/>
      <c r="H13" s="2149"/>
      <c r="I13" s="31"/>
      <c r="J13" s="30"/>
      <c r="K13" s="28"/>
      <c r="L13" s="30"/>
      <c r="M13" s="30"/>
      <c r="N13" s="30"/>
      <c r="O13" s="30"/>
      <c r="P13" s="30"/>
      <c r="Q13" s="30"/>
      <c r="R13" s="30"/>
      <c r="S13" s="30"/>
      <c r="T13" s="2153" t="s">
        <v>2052</v>
      </c>
      <c r="U13" s="2154"/>
      <c r="V13" s="2154"/>
      <c r="W13" s="2154"/>
      <c r="X13" s="2154"/>
      <c r="Y13" s="2155"/>
      <c r="Z13" s="2155"/>
      <c r="AA13" s="215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50" t="s">
        <v>2060</v>
      </c>
      <c r="B15" s="2151"/>
      <c r="C15" s="2151"/>
      <c r="D15" s="2151"/>
      <c r="E15" s="2151"/>
      <c r="F15" s="2151"/>
      <c r="G15" s="2151"/>
      <c r="H15" s="2152"/>
      <c r="T15" s="2157" t="s">
        <v>2068</v>
      </c>
      <c r="U15" s="2114"/>
      <c r="V15" s="2114"/>
      <c r="W15" s="2114"/>
      <c r="X15" s="2114"/>
      <c r="Y15" s="2158"/>
      <c r="Z15" s="2158"/>
      <c r="AA15" s="215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0" t="s">
        <v>2128</v>
      </c>
      <c r="B17" s="2121"/>
      <c r="C17" s="2121"/>
      <c r="D17" s="2121"/>
      <c r="E17" s="2121"/>
      <c r="F17" s="2121"/>
      <c r="G17" s="2121"/>
      <c r="H17" s="2146"/>
      <c r="T17" s="2164" t="s">
        <v>2053</v>
      </c>
      <c r="U17" s="2165"/>
      <c r="V17" s="2165"/>
      <c r="W17" s="2165"/>
      <c r="X17" s="2165"/>
      <c r="Y17" s="2165"/>
      <c r="Z17" s="2165"/>
      <c r="AA17" s="2166"/>
    </row>
    <row r="18" spans="1:27" ht="13.5" customHeight="1" x14ac:dyDescent="0.2">
      <c r="A18" s="82" t="s">
        <v>527</v>
      </c>
      <c r="B18" s="73"/>
      <c r="C18" s="69"/>
      <c r="D18" s="73"/>
      <c r="E18" s="73"/>
      <c r="F18" s="73"/>
      <c r="G18" s="73"/>
      <c r="H18" s="53"/>
      <c r="I18" s="2145" t="s">
        <v>671</v>
      </c>
      <c r="J18" s="2096"/>
      <c r="K18" s="2096"/>
      <c r="L18" s="2096"/>
      <c r="M18" s="2096"/>
      <c r="N18" s="2096"/>
      <c r="O18" s="2096"/>
      <c r="P18" s="2096"/>
      <c r="Q18" s="2096"/>
      <c r="R18" s="2096"/>
      <c r="S18" s="2097"/>
      <c r="T18" s="82" t="s">
        <v>706</v>
      </c>
      <c r="U18" s="48"/>
      <c r="V18" s="69"/>
      <c r="W18" s="47"/>
      <c r="X18" s="82" t="s">
        <v>264</v>
      </c>
      <c r="Y18" s="78"/>
      <c r="Z18" s="154" t="s">
        <v>672</v>
      </c>
      <c r="AA18" s="44"/>
    </row>
    <row r="19" spans="1:27" ht="13.5" customHeight="1" x14ac:dyDescent="0.2">
      <c r="A19" s="2150" t="s">
        <v>2062</v>
      </c>
      <c r="B19" s="2106"/>
      <c r="C19" s="2106"/>
      <c r="D19" s="2106"/>
      <c r="E19" s="2106"/>
      <c r="F19" s="2106"/>
      <c r="G19" s="2106"/>
      <c r="H19" s="2086"/>
      <c r="I19" s="30"/>
      <c r="J19" s="96"/>
      <c r="K19" s="40"/>
      <c r="L19" s="38"/>
      <c r="M19" s="109" t="s">
        <v>312</v>
      </c>
      <c r="P19" s="27"/>
      <c r="Q19" s="27"/>
      <c r="R19" s="27"/>
      <c r="S19" s="31"/>
      <c r="T19" s="2150" t="s">
        <v>2054</v>
      </c>
      <c r="U19" s="2085"/>
      <c r="V19" s="2085"/>
      <c r="W19" s="2086"/>
      <c r="X19" s="2162" t="s">
        <v>2055</v>
      </c>
      <c r="Y19" s="2163"/>
      <c r="Z19" s="2160">
        <v>61614</v>
      </c>
      <c r="AA19" s="216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2063</v>
      </c>
      <c r="B21" s="2085"/>
      <c r="C21" s="2085"/>
      <c r="D21" s="2085"/>
      <c r="E21" s="2085"/>
      <c r="F21" s="2085"/>
      <c r="G21" s="2085"/>
      <c r="H21" s="2086"/>
      <c r="I21" s="2140" t="s">
        <v>673</v>
      </c>
      <c r="J21" s="2135"/>
      <c r="K21" s="2135"/>
      <c r="L21" s="2135"/>
      <c r="M21" s="2135"/>
      <c r="N21" s="2135"/>
      <c r="O21" s="2135"/>
      <c r="P21" s="2135"/>
      <c r="Q21" s="2135"/>
      <c r="R21" s="2135"/>
      <c r="S21" s="2141"/>
      <c r="T21" s="2175" t="s">
        <v>2056</v>
      </c>
      <c r="U21" s="2176"/>
      <c r="V21" s="2176"/>
      <c r="W21" s="2176"/>
      <c r="X21" s="2181" t="s">
        <v>2057</v>
      </c>
      <c r="Y21" s="2182"/>
      <c r="Z21" s="2182"/>
      <c r="AA21" s="2183"/>
    </row>
    <row r="22" spans="1:27" ht="13.5" customHeight="1" x14ac:dyDescent="0.2">
      <c r="A22" s="84" t="s">
        <v>528</v>
      </c>
      <c r="B22" s="56"/>
      <c r="C22" s="56"/>
      <c r="D22" s="56"/>
      <c r="E22" s="56"/>
      <c r="F22" s="56"/>
      <c r="G22" s="56"/>
      <c r="H22" s="57"/>
      <c r="I22" s="2142" t="s">
        <v>1412</v>
      </c>
      <c r="J22" s="2143"/>
      <c r="K22" s="2143"/>
      <c r="L22" s="2143"/>
      <c r="M22" s="2143"/>
      <c r="N22" s="2143"/>
      <c r="O22" s="2143"/>
      <c r="P22" s="2143"/>
      <c r="Q22" s="2143"/>
      <c r="R22" s="2143"/>
      <c r="S22" s="2144"/>
      <c r="T22" s="82" t="s">
        <v>1499</v>
      </c>
      <c r="U22" s="48"/>
      <c r="V22" s="69"/>
      <c r="W22" s="48"/>
      <c r="X22" s="155" t="s">
        <v>1307</v>
      </c>
      <c r="Z22" s="43"/>
      <c r="AA22" s="44"/>
    </row>
    <row r="23" spans="1:27" ht="13.5" customHeight="1" x14ac:dyDescent="0.2">
      <c r="A23" s="2137" t="s">
        <v>2064</v>
      </c>
      <c r="B23" s="2138"/>
      <c r="C23" s="2138"/>
      <c r="D23" s="2138"/>
      <c r="E23" s="2138"/>
      <c r="F23" s="2138"/>
      <c r="G23" s="2138"/>
      <c r="H23" s="2139"/>
      <c r="T23" s="2120" t="s">
        <v>2058</v>
      </c>
      <c r="U23" s="2174"/>
      <c r="V23" s="2174"/>
      <c r="W23" s="2174"/>
      <c r="X23" s="2178">
        <v>44501</v>
      </c>
      <c r="Y23" s="2179"/>
      <c r="Z23" s="2179"/>
      <c r="AA23" s="2180"/>
    </row>
    <row r="24" spans="1:27" ht="14.1" customHeight="1" x14ac:dyDescent="0.2">
      <c r="A24" s="85" t="s">
        <v>672</v>
      </c>
      <c r="B24" s="46"/>
      <c r="C24" s="46"/>
      <c r="D24" s="46"/>
      <c r="E24" s="46"/>
      <c r="F24" s="46"/>
      <c r="G24" s="46"/>
      <c r="H24" s="58"/>
      <c r="J24" s="2107">
        <f>IF(B5="x",IF(AUDITCHECK!D29="AFR form Incomplete.","",IF(AUDITCHECK!D29="Deficit reduction plan is required.","School District must complete a deficit reduction plan in the 2020-2021 Budget",)),"")</f>
        <v>0</v>
      </c>
      <c r="K24" s="2107"/>
      <c r="L24" s="2107"/>
      <c r="M24" s="2107"/>
      <c r="N24" s="2107"/>
      <c r="O24" s="2107"/>
      <c r="P24" s="2107"/>
      <c r="Q24" s="2107"/>
      <c r="R24" s="2107"/>
      <c r="S24" s="2108"/>
      <c r="T24" s="102" t="s">
        <v>528</v>
      </c>
      <c r="U24" s="103"/>
      <c r="V24" s="103"/>
      <c r="W24" s="103"/>
      <c r="X24" s="104"/>
      <c r="Y24" s="104"/>
      <c r="Z24" s="104"/>
      <c r="AA24" s="105"/>
    </row>
    <row r="25" spans="1:27" ht="14.1" customHeight="1" x14ac:dyDescent="0.2">
      <c r="A25" s="2084">
        <v>60531</v>
      </c>
      <c r="B25" s="2085"/>
      <c r="C25" s="2085"/>
      <c r="D25" s="2085"/>
      <c r="E25" s="2085"/>
      <c r="F25" s="2085"/>
      <c r="G25" s="2085"/>
      <c r="H25" s="2086"/>
      <c r="I25" s="110"/>
      <c r="J25" s="2109"/>
      <c r="K25" s="2109"/>
      <c r="L25" s="2109"/>
      <c r="M25" s="2109"/>
      <c r="N25" s="2109"/>
      <c r="O25" s="2109"/>
      <c r="P25" s="2109"/>
      <c r="Q25" s="2109"/>
      <c r="R25" s="2109"/>
      <c r="S25" s="2110"/>
      <c r="T25" s="2171" t="s">
        <v>2124</v>
      </c>
      <c r="U25" s="2172"/>
      <c r="V25" s="2172"/>
      <c r="W25" s="2172"/>
      <c r="X25" s="2172"/>
      <c r="Y25" s="2172"/>
      <c r="Z25" s="2172"/>
      <c r="AA25" s="21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5" t="s">
        <v>1494</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6"/>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0" t="s">
        <v>2065</v>
      </c>
      <c r="B38" s="2121"/>
      <c r="C38" s="2121"/>
      <c r="D38" s="2121"/>
      <c r="E38" s="2121"/>
      <c r="F38" s="2085"/>
      <c r="G38" s="2085"/>
      <c r="H38" s="2086"/>
      <c r="I38" s="2113"/>
      <c r="J38" s="2114"/>
      <c r="K38" s="2114"/>
      <c r="L38" s="2114"/>
      <c r="M38" s="2114"/>
      <c r="N38" s="2114"/>
      <c r="O38" s="2114"/>
      <c r="P38" s="2115"/>
      <c r="Q38" s="2115"/>
      <c r="R38" s="2115"/>
      <c r="S38" s="2116"/>
      <c r="T38" s="2157"/>
      <c r="U38" s="2114"/>
      <c r="V38" s="2114"/>
      <c r="W38" s="2114"/>
      <c r="X38" s="2115"/>
      <c r="Y38" s="2115"/>
      <c r="Z38" s="2115"/>
      <c r="AA38" s="2116"/>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8" t="s">
        <v>2064</v>
      </c>
      <c r="B40" s="2099"/>
      <c r="C40" s="2100"/>
      <c r="D40" s="2100"/>
      <c r="E40" s="2100"/>
      <c r="F40" s="2101"/>
      <c r="G40" s="2101"/>
      <c r="H40" s="2102"/>
      <c r="I40" s="2123"/>
      <c r="J40" s="2124"/>
      <c r="K40" s="2124"/>
      <c r="L40" s="2124"/>
      <c r="M40" s="2124"/>
      <c r="N40" s="2124"/>
      <c r="O40" s="2124"/>
      <c r="P40" s="2124"/>
      <c r="Q40" s="2124"/>
      <c r="R40" s="2124"/>
      <c r="S40" s="2125"/>
      <c r="T40" s="2123"/>
      <c r="U40" s="2177"/>
      <c r="V40" s="2124"/>
      <c r="W40" s="2124"/>
      <c r="X40" s="2124"/>
      <c r="Y40" s="2124"/>
      <c r="Z40" s="2124"/>
      <c r="AA40" s="21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2" t="s">
        <v>2066</v>
      </c>
      <c r="B42" s="2104"/>
      <c r="C42" s="2105"/>
      <c r="D42" s="2103" t="s">
        <v>2067</v>
      </c>
      <c r="E42" s="2104"/>
      <c r="F42" s="2104"/>
      <c r="G42" s="2104"/>
      <c r="H42" s="2105"/>
      <c r="I42" s="2087"/>
      <c r="J42" s="2088"/>
      <c r="K42" s="2088"/>
      <c r="L42" s="2088"/>
      <c r="M42" s="2088"/>
      <c r="N42" s="2088"/>
      <c r="O42" s="2089"/>
      <c r="P42" s="2122"/>
      <c r="Q42" s="2088"/>
      <c r="R42" s="2088"/>
      <c r="S42" s="2089"/>
      <c r="T42" s="2087"/>
      <c r="U42" s="2088"/>
      <c r="V42" s="2088"/>
      <c r="W42" s="2089"/>
      <c r="X42" s="2122"/>
      <c r="Y42" s="2088"/>
      <c r="Z42" s="2088"/>
      <c r="AA42" s="208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7"/>
      <c r="B44" s="2118"/>
      <c r="C44" s="2118"/>
      <c r="D44" s="2118"/>
      <c r="E44" s="2118"/>
      <c r="F44" s="2118"/>
      <c r="G44" s="2118"/>
      <c r="H44" s="2119"/>
      <c r="I44" s="2092"/>
      <c r="J44" s="2093"/>
      <c r="K44" s="2093"/>
      <c r="L44" s="2093"/>
      <c r="M44" s="2093"/>
      <c r="N44" s="2093"/>
      <c r="O44" s="2093"/>
      <c r="P44" s="2093"/>
      <c r="Q44" s="2093"/>
      <c r="R44" s="2093"/>
      <c r="S44" s="2094"/>
      <c r="T44" s="2092"/>
      <c r="U44" s="2111"/>
      <c r="V44" s="2111"/>
      <c r="W44" s="2111"/>
      <c r="X44" s="2111"/>
      <c r="Y44" s="2111"/>
      <c r="Z44" s="2093"/>
      <c r="AA44" s="209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35"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36"/>
      <c r="B3" s="1293"/>
      <c r="C3" s="1294"/>
      <c r="D3" s="1295" t="s">
        <v>254</v>
      </c>
      <c r="E3" s="1294"/>
      <c r="F3" s="1295" t="s">
        <v>255</v>
      </c>
    </row>
    <row r="4" spans="1:8" ht="13.7" customHeight="1" x14ac:dyDescent="0.2">
      <c r="A4" s="579" t="s">
        <v>1145</v>
      </c>
      <c r="B4" s="1720">
        <f>'Revenues 9-14'!C5</f>
        <v>2120144</v>
      </c>
      <c r="C4" s="1721">
        <v>279571</v>
      </c>
      <c r="D4" s="1722">
        <f>B4-C4</f>
        <v>1840573</v>
      </c>
      <c r="E4" s="1721">
        <v>2211564</v>
      </c>
      <c r="F4" s="1722">
        <f>E4-C4</f>
        <v>1931993</v>
      </c>
    </row>
    <row r="5" spans="1:8" ht="13.7" customHeight="1" x14ac:dyDescent="0.2">
      <c r="A5" s="579" t="s">
        <v>865</v>
      </c>
      <c r="B5" s="1723">
        <f>'Revenues 9-14'!D5</f>
        <v>265017</v>
      </c>
      <c r="C5" s="1663">
        <v>34946</v>
      </c>
      <c r="D5" s="1724">
        <f t="shared" ref="D5:D18" si="0">B5-C5</f>
        <v>230071</v>
      </c>
      <c r="E5" s="1663">
        <v>276445</v>
      </c>
      <c r="F5" s="1724">
        <f>E5-C5</f>
        <v>241499</v>
      </c>
    </row>
    <row r="6" spans="1:8" ht="13.7" customHeight="1" x14ac:dyDescent="0.2">
      <c r="A6" s="579" t="s">
        <v>408</v>
      </c>
      <c r="B6" s="1723">
        <f>'Revenues 9-14'!E5</f>
        <v>227393</v>
      </c>
      <c r="C6" s="1663">
        <v>28427</v>
      </c>
      <c r="D6" s="1724">
        <f t="shared" si="0"/>
        <v>198966</v>
      </c>
      <c r="E6" s="1663">
        <v>224888</v>
      </c>
      <c r="F6" s="1724">
        <f t="shared" ref="F6:F18" si="1">E6-C6</f>
        <v>196461</v>
      </c>
    </row>
    <row r="7" spans="1:8" ht="13.7" customHeight="1" x14ac:dyDescent="0.2">
      <c r="A7" s="579" t="s">
        <v>154</v>
      </c>
      <c r="B7" s="1723">
        <f>'Revenues 9-14'!F5</f>
        <v>106007</v>
      </c>
      <c r="C7" s="1663">
        <v>13979</v>
      </c>
      <c r="D7" s="1724">
        <f t="shared" si="0"/>
        <v>92028</v>
      </c>
      <c r="E7" s="1663">
        <v>110578</v>
      </c>
      <c r="F7" s="1724">
        <f t="shared" si="1"/>
        <v>96599</v>
      </c>
    </row>
    <row r="8" spans="1:8" ht="13.7" customHeight="1" x14ac:dyDescent="0.2">
      <c r="A8" s="579" t="s">
        <v>1169</v>
      </c>
      <c r="B8" s="1723">
        <f>'Revenues 9-14'!G5</f>
        <v>44858</v>
      </c>
      <c r="C8" s="1663">
        <v>5562</v>
      </c>
      <c r="D8" s="1724">
        <f t="shared" si="0"/>
        <v>39296</v>
      </c>
      <c r="E8" s="1663">
        <v>43999</v>
      </c>
      <c r="F8" s="1724">
        <f t="shared" si="1"/>
        <v>38437</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26502</v>
      </c>
      <c r="C10" s="1663">
        <v>3495</v>
      </c>
      <c r="D10" s="1724">
        <f t="shared" si="0"/>
        <v>23007</v>
      </c>
      <c r="E10" s="1663">
        <v>27645</v>
      </c>
      <c r="F10" s="1724">
        <f t="shared" si="1"/>
        <v>24150</v>
      </c>
    </row>
    <row r="11" spans="1:8" x14ac:dyDescent="0.2">
      <c r="A11" s="579" t="s">
        <v>406</v>
      </c>
      <c r="B11" s="1723">
        <f>'Revenues 9-14'!J5</f>
        <v>256177</v>
      </c>
      <c r="C11" s="1663">
        <v>33500</v>
      </c>
      <c r="D11" s="1724">
        <f t="shared" si="0"/>
        <v>222677</v>
      </c>
      <c r="E11" s="1663">
        <v>265001</v>
      </c>
      <c r="F11" s="1724">
        <f t="shared" si="1"/>
        <v>231501</v>
      </c>
    </row>
    <row r="12" spans="1:8" ht="13.7" customHeight="1" x14ac:dyDescent="0.2">
      <c r="A12" s="579" t="s">
        <v>156</v>
      </c>
      <c r="B12" s="1723">
        <f>'Revenues 9-14'!K5</f>
        <v>26498</v>
      </c>
      <c r="C12" s="1663">
        <v>3495</v>
      </c>
      <c r="D12" s="1724">
        <f t="shared" si="0"/>
        <v>23003</v>
      </c>
      <c r="E12" s="1663">
        <v>27645</v>
      </c>
      <c r="F12" s="1724">
        <f t="shared" si="1"/>
        <v>24150</v>
      </c>
    </row>
    <row r="13" spans="1:8" ht="13.7" customHeight="1" x14ac:dyDescent="0.2">
      <c r="A13" s="579" t="s">
        <v>930</v>
      </c>
      <c r="B13" s="1723">
        <f>SUM('Revenues 9-14'!C6:D6)</f>
        <v>26502</v>
      </c>
      <c r="C13" s="1663">
        <v>3495</v>
      </c>
      <c r="D13" s="1724">
        <f t="shared" si="0"/>
        <v>23007</v>
      </c>
      <c r="E13" s="1663">
        <v>27645</v>
      </c>
      <c r="F13" s="1724">
        <f t="shared" si="1"/>
        <v>24150</v>
      </c>
    </row>
    <row r="14" spans="1:8" ht="13.7" customHeight="1" x14ac:dyDescent="0.2">
      <c r="A14" s="579" t="s">
        <v>407</v>
      </c>
      <c r="B14" s="1723">
        <f>SUM('Revenues 9-14'!C7:D7,'Revenues 9-14'!F7:H7)</f>
        <v>21202</v>
      </c>
      <c r="C14" s="1663">
        <v>2796</v>
      </c>
      <c r="D14" s="1724">
        <f t="shared" si="0"/>
        <v>18406</v>
      </c>
      <c r="E14" s="1663">
        <v>22116</v>
      </c>
      <c r="F14" s="1724">
        <f t="shared" si="1"/>
        <v>19320</v>
      </c>
    </row>
    <row r="15" spans="1:8" ht="13.7" customHeight="1" x14ac:dyDescent="0.2">
      <c r="A15" s="579" t="s">
        <v>1148</v>
      </c>
      <c r="B15" s="1723">
        <f>SUM('Revenues 9-14'!D9:E9,'Revenues 9-14'!H9)</f>
        <v>0</v>
      </c>
      <c r="C15" s="1663">
        <v>0</v>
      </c>
      <c r="D15" s="1724">
        <f t="shared" si="0"/>
        <v>0</v>
      </c>
      <c r="E15" s="1663">
        <v>0</v>
      </c>
      <c r="F15" s="1724">
        <f t="shared" si="1"/>
        <v>0</v>
      </c>
    </row>
    <row r="16" spans="1:8" ht="13.7" customHeight="1" x14ac:dyDescent="0.2">
      <c r="A16" s="579" t="s">
        <v>1149</v>
      </c>
      <c r="B16" s="1723">
        <f>'Revenues 9-14'!G8</f>
        <v>65980</v>
      </c>
      <c r="C16" s="1663">
        <v>8343</v>
      </c>
      <c r="D16" s="1724">
        <f t="shared" si="0"/>
        <v>57637</v>
      </c>
      <c r="E16" s="1663">
        <v>65999</v>
      </c>
      <c r="F16" s="1724">
        <f t="shared" si="1"/>
        <v>57656</v>
      </c>
    </row>
    <row r="17" spans="1:6" ht="13.7" customHeight="1" x14ac:dyDescent="0.2">
      <c r="A17" s="579" t="s">
        <v>1150</v>
      </c>
      <c r="B17" s="1723">
        <f>'Revenues 9-14'!C10</f>
        <v>0</v>
      </c>
      <c r="C17" s="1663">
        <v>0</v>
      </c>
      <c r="D17" s="1724">
        <f t="shared" si="0"/>
        <v>0</v>
      </c>
      <c r="E17" s="1663">
        <v>0</v>
      </c>
      <c r="F17" s="1724">
        <f t="shared" si="1"/>
        <v>0</v>
      </c>
    </row>
    <row r="18" spans="1:6" ht="13.7" customHeight="1" x14ac:dyDescent="0.2">
      <c r="A18" s="579" t="s">
        <v>757</v>
      </c>
      <c r="B18" s="1723">
        <f>SUM('Revenues 9-14'!C11:K11)</f>
        <v>0</v>
      </c>
      <c r="C18" s="1663">
        <v>0</v>
      </c>
      <c r="D18" s="1724">
        <f t="shared" si="0"/>
        <v>0</v>
      </c>
      <c r="E18" s="1663">
        <v>0</v>
      </c>
      <c r="F18" s="1724">
        <f t="shared" si="1"/>
        <v>0</v>
      </c>
    </row>
    <row r="19" spans="1:6" ht="13.7" customHeight="1" thickBot="1" x14ac:dyDescent="0.25">
      <c r="A19" s="1431" t="s">
        <v>1151</v>
      </c>
      <c r="B19" s="1725">
        <f>SUM(B4:B18)</f>
        <v>3186280</v>
      </c>
      <c r="C19" s="1725">
        <f>SUM(C4:C18)</f>
        <v>417609</v>
      </c>
      <c r="D19" s="1725">
        <f>SUM(D4:D18)</f>
        <v>2768671</v>
      </c>
      <c r="E19" s="1725">
        <f>SUM(E4:E18)</f>
        <v>3303525</v>
      </c>
      <c r="F19" s="1725">
        <f>SUM(F4:F18)</f>
        <v>2885916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7" t="s">
        <v>625</v>
      </c>
      <c r="B1" s="2355"/>
      <c r="C1" s="585"/>
    </row>
    <row r="2" spans="1:7" ht="33.75" x14ac:dyDescent="0.2">
      <c r="A2" s="2362" t="s">
        <v>1779</v>
      </c>
      <c r="B2" s="236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64" t="s">
        <v>1104</v>
      </c>
      <c r="B3" s="2365"/>
      <c r="C3" s="2358"/>
      <c r="D3" s="2359"/>
      <c r="E3" s="2359"/>
      <c r="F3" s="2360"/>
    </row>
    <row r="4" spans="1:7" ht="12.75" customHeight="1" thickBot="1" x14ac:dyDescent="0.25">
      <c r="A4" s="2352" t="s">
        <v>626</v>
      </c>
      <c r="B4" s="2353"/>
      <c r="C4" s="1655"/>
      <c r="D4" s="1655"/>
      <c r="E4" s="1655"/>
      <c r="F4" s="1731">
        <f>SUM(C4+D4)-E4</f>
        <v>0</v>
      </c>
    </row>
    <row r="5" spans="1:7" ht="15.75" customHeight="1" thickTop="1" x14ac:dyDescent="0.2">
      <c r="A5" s="2356" t="s">
        <v>1101</v>
      </c>
      <c r="B5" s="2351"/>
      <c r="C5" s="2345"/>
      <c r="D5" s="2346"/>
      <c r="E5" s="2346"/>
      <c r="F5" s="2347"/>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48" t="s">
        <v>627</v>
      </c>
      <c r="B15" s="2349"/>
      <c r="C15" s="1731">
        <f>SUM(C6:C14)</f>
        <v>0</v>
      </c>
      <c r="D15" s="1731">
        <f>SUM(D6:D14)</f>
        <v>0</v>
      </c>
      <c r="E15" s="1731">
        <f>SUM(E6:E14)</f>
        <v>0</v>
      </c>
      <c r="F15" s="1731">
        <f>SUM(F6:F14)</f>
        <v>0</v>
      </c>
      <c r="G15" s="473"/>
    </row>
    <row r="16" spans="1:7" s="197" customFormat="1" ht="15.75" customHeight="1" thickTop="1" x14ac:dyDescent="0.2">
      <c r="A16" s="2361" t="s">
        <v>1102</v>
      </c>
      <c r="B16" s="2351"/>
      <c r="C16" s="2345"/>
      <c r="D16" s="2346"/>
      <c r="E16" s="2346"/>
      <c r="F16" s="2347"/>
    </row>
    <row r="17" spans="1:11" ht="12.75" customHeight="1" thickBot="1" x14ac:dyDescent="0.25">
      <c r="A17" s="2343" t="s">
        <v>64</v>
      </c>
      <c r="B17" s="2344"/>
      <c r="C17" s="1732"/>
      <c r="D17" s="1663"/>
      <c r="E17" s="1732"/>
      <c r="F17" s="1731">
        <f>SUM(C17+D17)-E17</f>
        <v>0</v>
      </c>
    </row>
    <row r="18" spans="1:11" ht="12.75" customHeight="1" thickTop="1" thickBot="1" x14ac:dyDescent="0.25">
      <c r="A18" s="2343" t="s">
        <v>6</v>
      </c>
      <c r="B18" s="2344"/>
      <c r="C18" s="1732"/>
      <c r="D18" s="1663"/>
      <c r="E18" s="1732"/>
      <c r="F18" s="1731">
        <f>SUM(C18+D18)-E18</f>
        <v>0</v>
      </c>
    </row>
    <row r="19" spans="1:11" ht="12.75" customHeight="1" thickTop="1" thickBot="1" x14ac:dyDescent="0.25">
      <c r="A19" s="2343" t="s">
        <v>385</v>
      </c>
      <c r="B19" s="2344"/>
      <c r="C19" s="1732"/>
      <c r="D19" s="1663"/>
      <c r="E19" s="1732"/>
      <c r="F19" s="1731">
        <f>SUM(C19+D19)-E19</f>
        <v>0</v>
      </c>
    </row>
    <row r="20" spans="1:11" ht="12.75" customHeight="1" thickTop="1" thickBot="1" x14ac:dyDescent="0.25">
      <c r="A20" s="2343" t="s">
        <v>445</v>
      </c>
      <c r="B20" s="2344"/>
      <c r="C20" s="1732"/>
      <c r="D20" s="1663"/>
      <c r="E20" s="1732"/>
      <c r="F20" s="1731">
        <f>SUM(C20+D20)-E20</f>
        <v>0</v>
      </c>
    </row>
    <row r="21" spans="1:11" ht="14.25" thickTop="1" thickBot="1" x14ac:dyDescent="0.25">
      <c r="A21" s="2348" t="s">
        <v>628</v>
      </c>
      <c r="B21" s="2349"/>
      <c r="C21" s="1731">
        <f>SUM(C17:C20)</f>
        <v>0</v>
      </c>
      <c r="D21" s="1731">
        <f>SUM(D17:D20)</f>
        <v>0</v>
      </c>
      <c r="E21" s="1731">
        <f>SUM(E17:E20)</f>
        <v>0</v>
      </c>
      <c r="F21" s="1731">
        <f>SUM(F17:F20)</f>
        <v>0</v>
      </c>
      <c r="G21" s="473"/>
    </row>
    <row r="22" spans="1:11" ht="15.75" customHeight="1" thickTop="1" x14ac:dyDescent="0.2">
      <c r="A22" s="2350" t="s">
        <v>1103</v>
      </c>
      <c r="B22" s="2351"/>
      <c r="C22" s="2345"/>
      <c r="D22" s="2346"/>
      <c r="E22" s="2346"/>
      <c r="F22" s="2347"/>
    </row>
    <row r="23" spans="1:11" ht="13.5" thickBot="1" x14ac:dyDescent="0.25">
      <c r="A23" s="2352" t="s">
        <v>629</v>
      </c>
      <c r="B23" s="2353"/>
      <c r="C23" s="1655"/>
      <c r="D23" s="1655"/>
      <c r="E23" s="1655"/>
      <c r="F23" s="1731">
        <f>SUM(C23+D23)-E23</f>
        <v>0</v>
      </c>
      <c r="G23" s="473"/>
    </row>
    <row r="24" spans="1:11" ht="15.75" customHeight="1" thickTop="1" x14ac:dyDescent="0.2">
      <c r="A24" s="2350" t="s">
        <v>2006</v>
      </c>
      <c r="B24" s="2351"/>
      <c r="C24" s="2345"/>
      <c r="D24" s="2346"/>
      <c r="E24" s="2346"/>
      <c r="F24" s="2347"/>
    </row>
    <row r="25" spans="1:11" ht="13.5" thickBot="1" x14ac:dyDescent="0.25">
      <c r="A25" s="2352" t="s">
        <v>2007</v>
      </c>
      <c r="B25" s="2353"/>
      <c r="C25" s="1655"/>
      <c r="D25" s="1655"/>
      <c r="E25" s="1655"/>
      <c r="F25" s="1731">
        <f>SUM(C25+D25)-E25</f>
        <v>0</v>
      </c>
      <c r="G25" s="473"/>
    </row>
    <row r="26" spans="1:11" ht="15.75" customHeight="1" thickTop="1" x14ac:dyDescent="0.2">
      <c r="A26" s="2356" t="s">
        <v>652</v>
      </c>
      <c r="B26" s="2351"/>
      <c r="C26" s="589"/>
      <c r="D26" s="589"/>
      <c r="E26" s="589"/>
      <c r="F26" s="590"/>
    </row>
    <row r="27" spans="1:11" ht="13.5" thickBot="1" x14ac:dyDescent="0.25">
      <c r="A27" s="2348" t="s">
        <v>1061</v>
      </c>
      <c r="B27" s="2349"/>
      <c r="C27" s="1663"/>
      <c r="D27" s="1663"/>
      <c r="E27" s="1663"/>
      <c r="F27" s="1731">
        <f>SUM(C27+D27)-E27</f>
        <v>0</v>
      </c>
      <c r="G27" s="473"/>
    </row>
    <row r="28" spans="1:11" ht="7.5" customHeight="1" thickTop="1" x14ac:dyDescent="0.2">
      <c r="A28" s="489"/>
    </row>
    <row r="29" spans="1:11" ht="23.25" customHeight="1" x14ac:dyDescent="0.2">
      <c r="A29" s="2354" t="s">
        <v>578</v>
      </c>
      <c r="B29" s="2355"/>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2106</v>
      </c>
      <c r="B31" s="595">
        <v>42145</v>
      </c>
      <c r="C31" s="1733">
        <v>2190000</v>
      </c>
      <c r="D31" s="1734" t="s">
        <v>2107</v>
      </c>
      <c r="E31" s="1733">
        <v>1760000</v>
      </c>
      <c r="F31" s="1733"/>
      <c r="G31" s="1733"/>
      <c r="H31" s="1733">
        <v>185000</v>
      </c>
      <c r="I31" s="1735">
        <f>((E31+F31)-H31)+G31</f>
        <v>1575000</v>
      </c>
      <c r="J31" s="1733">
        <f>I31-86902</f>
        <v>1488098</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2190000</v>
      </c>
      <c r="D49" s="1741"/>
      <c r="E49" s="1735">
        <f t="shared" ref="E49:J49" si="2">SUM(E31:E48)</f>
        <v>1760000</v>
      </c>
      <c r="F49" s="1735">
        <f t="shared" si="2"/>
        <v>0</v>
      </c>
      <c r="G49" s="1735">
        <f t="shared" si="2"/>
        <v>0</v>
      </c>
      <c r="H49" s="1735">
        <f t="shared" si="2"/>
        <v>185000</v>
      </c>
      <c r="I49" s="1735">
        <f t="shared" si="2"/>
        <v>1575000</v>
      </c>
      <c r="J49" s="1735">
        <f t="shared" si="2"/>
        <v>1488098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7" t="s">
        <v>580</v>
      </c>
      <c r="C52" s="2338"/>
      <c r="D52" s="2338"/>
      <c r="E52" s="603" t="s">
        <v>840</v>
      </c>
      <c r="F52" s="2339"/>
      <c r="G52" s="2340"/>
      <c r="H52" s="596"/>
      <c r="I52" s="596"/>
      <c r="J52" s="600"/>
    </row>
    <row r="53" spans="1:11" ht="11.25" customHeight="1" x14ac:dyDescent="0.2">
      <c r="A53" s="604" t="s">
        <v>907</v>
      </c>
      <c r="B53" s="605" t="s">
        <v>945</v>
      </c>
      <c r="C53" s="600"/>
      <c r="D53" s="597"/>
      <c r="E53" s="603" t="s">
        <v>494</v>
      </c>
      <c r="F53" s="2341"/>
      <c r="G53" s="2342"/>
      <c r="H53" s="596"/>
      <c r="I53" s="596"/>
      <c r="J53" s="600"/>
    </row>
    <row r="54" spans="1:11" ht="11.25" customHeight="1" x14ac:dyDescent="0.2">
      <c r="A54" s="606" t="s">
        <v>908</v>
      </c>
      <c r="B54" s="601" t="s">
        <v>946</v>
      </c>
      <c r="C54" s="600"/>
      <c r="D54" s="597"/>
      <c r="E54" s="603" t="s">
        <v>495</v>
      </c>
      <c r="F54" s="2341"/>
      <c r="G54" s="234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851</v>
      </c>
      <c r="B1" s="2367"/>
      <c r="C1" s="2367"/>
      <c r="D1" s="2367"/>
      <c r="E1" s="2367"/>
      <c r="F1" s="2367"/>
      <c r="G1" s="2368"/>
      <c r="H1" s="1297"/>
      <c r="I1" s="614"/>
      <c r="J1" s="400"/>
    </row>
    <row r="2" spans="1:11" ht="26.25" x14ac:dyDescent="0.2">
      <c r="A2" s="2385" t="s">
        <v>1658</v>
      </c>
      <c r="B2" s="2386"/>
      <c r="C2" s="2386"/>
      <c r="D2" s="2386"/>
      <c r="E2" s="2387"/>
      <c r="F2" s="615" t="s">
        <v>898</v>
      </c>
      <c r="G2" s="616" t="s">
        <v>1655</v>
      </c>
      <c r="H2" s="616" t="s">
        <v>407</v>
      </c>
      <c r="I2" s="616" t="s">
        <v>1148</v>
      </c>
      <c r="J2" s="616" t="s">
        <v>1789</v>
      </c>
      <c r="K2" s="616" t="s">
        <v>137</v>
      </c>
    </row>
    <row r="3" spans="1:11" x14ac:dyDescent="0.2">
      <c r="A3" s="2388" t="str">
        <f>"Cash Basis Fund Balance as of July 1, "&amp;'AFR20'!E2-1</f>
        <v>Cash Basis Fund Balance as of July 1, 2019</v>
      </c>
      <c r="B3" s="2389"/>
      <c r="C3" s="2389"/>
      <c r="D3" s="2389"/>
      <c r="E3" s="2390"/>
      <c r="F3" s="617"/>
      <c r="G3" s="1743"/>
      <c r="H3" s="1743"/>
      <c r="I3" s="1743"/>
      <c r="J3" s="1744"/>
      <c r="K3" s="1744"/>
    </row>
    <row r="4" spans="1:11" x14ac:dyDescent="0.2">
      <c r="A4" s="2391" t="s">
        <v>366</v>
      </c>
      <c r="B4" s="2392"/>
      <c r="C4" s="2392"/>
      <c r="D4" s="2392"/>
      <c r="E4" s="2338"/>
      <c r="F4" s="620"/>
      <c r="G4" s="1745"/>
      <c r="H4" s="1746"/>
      <c r="I4" s="1745"/>
      <c r="J4" s="1747"/>
      <c r="K4" s="1747"/>
    </row>
    <row r="5" spans="1:11" x14ac:dyDescent="0.2">
      <c r="A5" s="2369" t="s">
        <v>1060</v>
      </c>
      <c r="B5" s="2370"/>
      <c r="C5" s="2370"/>
      <c r="D5" s="2370"/>
      <c r="E5" s="2371"/>
      <c r="F5" s="622" t="s">
        <v>843</v>
      </c>
      <c r="G5" s="1748"/>
      <c r="H5" s="1743">
        <f>2796+18406</f>
        <v>21202</v>
      </c>
      <c r="I5" s="1749"/>
      <c r="J5" s="1750"/>
      <c r="K5" s="1750"/>
    </row>
    <row r="6" spans="1:11" x14ac:dyDescent="0.2">
      <c r="A6" s="625" t="s">
        <v>715</v>
      </c>
      <c r="B6" s="626"/>
      <c r="C6" s="626"/>
      <c r="D6" s="626"/>
      <c r="E6" s="627"/>
      <c r="F6" s="628" t="s">
        <v>844</v>
      </c>
      <c r="G6" s="1743"/>
      <c r="H6" s="1743">
        <v>18</v>
      </c>
      <c r="I6" s="1743"/>
      <c r="J6" s="1744"/>
      <c r="K6" s="1744"/>
    </row>
    <row r="7" spans="1:11" x14ac:dyDescent="0.2">
      <c r="A7" s="629" t="s">
        <v>244</v>
      </c>
      <c r="B7" s="630"/>
      <c r="C7" s="630"/>
      <c r="D7" s="630"/>
      <c r="E7" s="631"/>
      <c r="F7" s="622" t="s">
        <v>845</v>
      </c>
      <c r="G7" s="1745"/>
      <c r="H7" s="1745"/>
      <c r="I7" s="1745"/>
      <c r="J7" s="1751"/>
      <c r="K7" s="1744">
        <v>1777</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2332</v>
      </c>
    </row>
    <row r="10" spans="1:11" x14ac:dyDescent="0.2">
      <c r="A10" s="2369" t="s">
        <v>1790</v>
      </c>
      <c r="B10" s="2370"/>
      <c r="C10" s="2370"/>
      <c r="D10" s="2370"/>
      <c r="E10" s="2372"/>
      <c r="F10" s="633" t="s">
        <v>857</v>
      </c>
      <c r="G10" s="1752"/>
      <c r="H10" s="1753"/>
      <c r="I10" s="1743"/>
      <c r="J10" s="1744"/>
      <c r="K10" s="1744"/>
    </row>
    <row r="11" spans="1:11" x14ac:dyDescent="0.2">
      <c r="A11" s="2369" t="s">
        <v>159</v>
      </c>
      <c r="B11" s="2370"/>
      <c r="C11" s="2370"/>
      <c r="D11" s="2370"/>
      <c r="E11" s="2371"/>
      <c r="F11" s="622" t="s">
        <v>847</v>
      </c>
      <c r="G11" s="1748"/>
      <c r="H11" s="1743"/>
      <c r="I11" s="1743"/>
      <c r="J11" s="1744"/>
      <c r="K11" s="1750"/>
    </row>
    <row r="12" spans="1:11" ht="13.5" thickBot="1" x14ac:dyDescent="0.25">
      <c r="A12" s="2396" t="s">
        <v>899</v>
      </c>
      <c r="B12" s="2397"/>
      <c r="C12" s="2397"/>
      <c r="D12" s="2397"/>
      <c r="E12" s="2398"/>
      <c r="F12" s="1432"/>
      <c r="G12" s="1754">
        <f>SUM(G5:G11)</f>
        <v>0</v>
      </c>
      <c r="H12" s="1754">
        <f>SUM(H5:H11)</f>
        <v>21220</v>
      </c>
      <c r="I12" s="1754">
        <f>SUM(I5:I11)</f>
        <v>0</v>
      </c>
      <c r="J12" s="1754">
        <f>SUM(J5:J11)</f>
        <v>0</v>
      </c>
      <c r="K12" s="1754">
        <f>SUM(K5:K11)</f>
        <v>4109</v>
      </c>
    </row>
    <row r="13" spans="1:11" ht="13.5" thickTop="1" x14ac:dyDescent="0.2">
      <c r="A13" s="2393" t="s">
        <v>367</v>
      </c>
      <c r="B13" s="2394"/>
      <c r="C13" s="2394"/>
      <c r="D13" s="2394"/>
      <c r="E13" s="2395"/>
      <c r="F13" s="634"/>
      <c r="G13" s="1755"/>
      <c r="H13" s="1756"/>
      <c r="I13" s="1757"/>
      <c r="J13" s="1757"/>
      <c r="K13" s="1757"/>
    </row>
    <row r="14" spans="1:11" x14ac:dyDescent="0.2">
      <c r="A14" s="2376" t="s">
        <v>453</v>
      </c>
      <c r="B14" s="2376"/>
      <c r="C14" s="2376"/>
      <c r="D14" s="2376"/>
      <c r="E14" s="2377"/>
      <c r="F14" s="635" t="s">
        <v>849</v>
      </c>
      <c r="G14" s="1752"/>
      <c r="H14" s="1743">
        <v>21220</v>
      </c>
      <c r="I14" s="1748"/>
      <c r="J14" s="1750"/>
      <c r="K14" s="1744">
        <v>4109</v>
      </c>
    </row>
    <row r="15" spans="1:11" x14ac:dyDescent="0.2">
      <c r="A15" s="2370" t="s">
        <v>4</v>
      </c>
      <c r="B15" s="2370"/>
      <c r="C15" s="2370"/>
      <c r="D15" s="2370"/>
      <c r="E15" s="2371"/>
      <c r="F15" s="635" t="s">
        <v>850</v>
      </c>
      <c r="G15" s="1748"/>
      <c r="H15" s="1743"/>
      <c r="I15" s="1743"/>
      <c r="J15" s="1744"/>
      <c r="K15" s="1744"/>
    </row>
    <row r="16" spans="1:11" x14ac:dyDescent="0.2">
      <c r="A16" s="2370" t="s">
        <v>295</v>
      </c>
      <c r="B16" s="2370"/>
      <c r="C16" s="2370"/>
      <c r="D16" s="2370"/>
      <c r="E16" s="2371"/>
      <c r="F16" s="635" t="s">
        <v>917</v>
      </c>
      <c r="G16" s="1749"/>
      <c r="H16" s="1745"/>
      <c r="I16" s="1745"/>
      <c r="J16" s="1747"/>
      <c r="K16" s="1747"/>
    </row>
    <row r="17" spans="1:15" x14ac:dyDescent="0.2">
      <c r="A17" s="2403" t="s">
        <v>929</v>
      </c>
      <c r="B17" s="2403"/>
      <c r="C17" s="2403"/>
      <c r="D17" s="2403"/>
      <c r="E17" s="2404"/>
      <c r="F17" s="636"/>
      <c r="G17" s="1758"/>
      <c r="H17" s="1759"/>
      <c r="I17" s="1759"/>
      <c r="J17" s="1760"/>
      <c r="K17" s="1761"/>
    </row>
    <row r="18" spans="1:15" x14ac:dyDescent="0.2">
      <c r="A18" s="2380" t="s">
        <v>365</v>
      </c>
      <c r="B18" s="2381"/>
      <c r="C18" s="2381"/>
      <c r="D18" s="2381"/>
      <c r="E18" s="2382"/>
      <c r="F18" s="635" t="s">
        <v>926</v>
      </c>
      <c r="G18" s="1752"/>
      <c r="H18" s="1752"/>
      <c r="I18" s="1752"/>
      <c r="J18" s="1744"/>
      <c r="K18" s="1762"/>
    </row>
    <row r="19" spans="1:15" ht="21.75" customHeight="1" x14ac:dyDescent="0.2">
      <c r="A19" s="2378" t="s">
        <v>1786</v>
      </c>
      <c r="B19" s="2378"/>
      <c r="C19" s="2378"/>
      <c r="D19" s="2378"/>
      <c r="E19" s="2379"/>
      <c r="F19" s="635" t="s">
        <v>927</v>
      </c>
      <c r="G19" s="1752"/>
      <c r="H19" s="1752"/>
      <c r="I19" s="1752"/>
      <c r="J19" s="1744"/>
      <c r="K19" s="1762"/>
    </row>
    <row r="20" spans="1:15" x14ac:dyDescent="0.2">
      <c r="A20" s="2380" t="s">
        <v>1791</v>
      </c>
      <c r="B20" s="2381"/>
      <c r="C20" s="2381"/>
      <c r="D20" s="2381"/>
      <c r="E20" s="2382"/>
      <c r="F20" s="635" t="s">
        <v>928</v>
      </c>
      <c r="G20" s="1752"/>
      <c r="H20" s="1752"/>
      <c r="I20" s="1752"/>
      <c r="J20" s="1744"/>
      <c r="K20" s="1762"/>
    </row>
    <row r="21" spans="1:15" ht="13.5" thickBot="1" x14ac:dyDescent="0.25">
      <c r="A21" s="2399" t="s">
        <v>633</v>
      </c>
      <c r="B21" s="2399"/>
      <c r="C21" s="2399"/>
      <c r="D21" s="2399"/>
      <c r="E21" s="2399"/>
      <c r="F21" s="1433"/>
      <c r="G21" s="1759"/>
      <c r="H21" s="1763"/>
      <c r="I21" s="1763"/>
      <c r="J21" s="1764">
        <f>SUM(J18:J20)</f>
        <v>0</v>
      </c>
      <c r="K21" s="1760"/>
    </row>
    <row r="22" spans="1:15" ht="13.5" thickTop="1" x14ac:dyDescent="0.2">
      <c r="A22" s="2370" t="s">
        <v>1792</v>
      </c>
      <c r="B22" s="2370"/>
      <c r="C22" s="2370"/>
      <c r="D22" s="2370"/>
      <c r="E22" s="2371"/>
      <c r="F22" s="635" t="s">
        <v>857</v>
      </c>
      <c r="G22" s="1752"/>
      <c r="H22" s="1743"/>
      <c r="I22" s="1743"/>
      <c r="J22" s="1765"/>
      <c r="K22" s="1744"/>
    </row>
    <row r="23" spans="1:15" ht="13.5" thickBot="1" x14ac:dyDescent="0.25">
      <c r="A23" s="2400" t="s">
        <v>900</v>
      </c>
      <c r="B23" s="2399"/>
      <c r="C23" s="2399"/>
      <c r="D23" s="2399"/>
      <c r="E23" s="2399"/>
      <c r="F23" s="1435"/>
      <c r="G23" s="1754">
        <f>SUM(G14:G16,G21,G22)</f>
        <v>0</v>
      </c>
      <c r="H23" s="1754">
        <f>SUM(H14:H16,H21,H22)</f>
        <v>21220</v>
      </c>
      <c r="I23" s="1754">
        <f>SUM(I14:I16,I21,I22)</f>
        <v>0</v>
      </c>
      <c r="J23" s="1754">
        <f>SUM(J14:J16,J21,J22)</f>
        <v>0</v>
      </c>
      <c r="K23" s="1754">
        <f>SUM(K14:K16,K21,K22)</f>
        <v>4109</v>
      </c>
      <c r="M23" s="1845"/>
      <c r="N23" s="1845"/>
      <c r="O23" s="1845"/>
    </row>
    <row r="24" spans="1:15" ht="14.25" thickTop="1" thickBot="1" x14ac:dyDescent="0.25">
      <c r="A24" s="2401" t="str">
        <f>"Ending Cash Basis Fund Balance as of June 30, "&amp;'AFR20'!E2</f>
        <v>Ending Cash Basis Fund Balance as of June 30, 2020</v>
      </c>
      <c r="B24" s="2402"/>
      <c r="C24" s="2402"/>
      <c r="D24" s="2402"/>
      <c r="E24" s="2402"/>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0" t="s">
        <v>538</v>
      </c>
      <c r="B41" s="2383"/>
      <c r="C41" s="2383"/>
      <c r="D41" s="2383"/>
      <c r="E41" s="2383"/>
      <c r="F41" s="238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7" t="s">
        <v>1875</v>
      </c>
      <c r="B1" s="2408"/>
      <c r="C1" s="2409"/>
      <c r="D1" s="666"/>
      <c r="E1" s="667"/>
      <c r="F1" s="667"/>
      <c r="G1" s="668"/>
      <c r="H1" s="669"/>
      <c r="I1" s="670"/>
      <c r="J1" s="2405"/>
      <c r="K1" s="2406"/>
      <c r="L1" s="2406"/>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136694</v>
      </c>
      <c r="D5" s="1769"/>
      <c r="E5" s="1769"/>
      <c r="F5" s="1764">
        <f>(C5+D5)-E5</f>
        <v>136694</v>
      </c>
      <c r="G5" s="676"/>
      <c r="H5" s="680"/>
      <c r="I5" s="680"/>
      <c r="J5" s="680"/>
      <c r="K5" s="637"/>
      <c r="L5" s="1441">
        <f>F5-K5</f>
        <v>136694</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4583676</v>
      </c>
      <c r="D8" s="1770">
        <v>126606</v>
      </c>
      <c r="E8" s="1770"/>
      <c r="F8" s="1764">
        <f>(C8+D8)-E8</f>
        <v>4710282</v>
      </c>
      <c r="G8" s="681">
        <v>50</v>
      </c>
      <c r="H8" s="619">
        <v>2419450</v>
      </c>
      <c r="I8" s="619">
        <v>69533</v>
      </c>
      <c r="J8" s="619"/>
      <c r="K8" s="1441">
        <f>(H8+I8)-J8</f>
        <v>2488983</v>
      </c>
      <c r="L8" s="1441">
        <f>F8-K8</f>
        <v>2221299</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3058245</v>
      </c>
      <c r="D10" s="1771"/>
      <c r="E10" s="1771"/>
      <c r="F10" s="1772">
        <f>(C10+D10)-E10</f>
        <v>3058245</v>
      </c>
      <c r="G10" s="681">
        <v>20</v>
      </c>
      <c r="H10" s="683">
        <v>1180576</v>
      </c>
      <c r="I10" s="683">
        <v>146312</v>
      </c>
      <c r="J10" s="683"/>
      <c r="K10" s="1441">
        <f>(H10+I10)-J10</f>
        <v>1326888</v>
      </c>
      <c r="L10" s="1441">
        <f>F10-K10</f>
        <v>1731357</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196754</v>
      </c>
      <c r="D12" s="1770">
        <v>31309</v>
      </c>
      <c r="E12" s="1770"/>
      <c r="F12" s="1764">
        <f>(C12+D12)-E12</f>
        <v>228063</v>
      </c>
      <c r="G12" s="681">
        <v>10</v>
      </c>
      <c r="H12" s="619">
        <v>64721</v>
      </c>
      <c r="I12" s="619">
        <v>20972</v>
      </c>
      <c r="J12" s="619"/>
      <c r="K12" s="1441">
        <f>(H12+I12)-J12</f>
        <v>85693</v>
      </c>
      <c r="L12" s="1441">
        <f>F12-K12</f>
        <v>142370</v>
      </c>
    </row>
    <row r="13" spans="1:14" ht="14.25" thickTop="1" thickBot="1" x14ac:dyDescent="0.25">
      <c r="A13" s="684" t="s">
        <v>1112</v>
      </c>
      <c r="B13" s="679">
        <v>252</v>
      </c>
      <c r="C13" s="1770">
        <v>752396</v>
      </c>
      <c r="D13" s="1770">
        <v>20340</v>
      </c>
      <c r="E13" s="1770"/>
      <c r="F13" s="1764">
        <f>(C13+D13)-E13</f>
        <v>772736</v>
      </c>
      <c r="G13" s="681">
        <v>5</v>
      </c>
      <c r="H13" s="619">
        <v>738042</v>
      </c>
      <c r="I13" s="619">
        <v>13544</v>
      </c>
      <c r="J13" s="619"/>
      <c r="K13" s="1441">
        <f>(H13+I13)-J13</f>
        <v>751586</v>
      </c>
      <c r="L13" s="1441">
        <f>F13-K13</f>
        <v>21150</v>
      </c>
    </row>
    <row r="14" spans="1:14" ht="14.25" thickTop="1" thickBot="1" x14ac:dyDescent="0.25">
      <c r="A14" s="684" t="s">
        <v>1113</v>
      </c>
      <c r="B14" s="679">
        <v>253</v>
      </c>
      <c r="C14" s="1744">
        <v>19596</v>
      </c>
      <c r="D14" s="1744">
        <v>1780</v>
      </c>
      <c r="E14" s="1744"/>
      <c r="F14" s="1764">
        <f>(C14+D14)-E14</f>
        <v>21376</v>
      </c>
      <c r="G14" s="681">
        <v>3</v>
      </c>
      <c r="H14" s="619">
        <v>19596</v>
      </c>
      <c r="I14" s="619">
        <v>593</v>
      </c>
      <c r="J14" s="619"/>
      <c r="K14" s="1441">
        <f>(H14+I14)-J14</f>
        <v>20189</v>
      </c>
      <c r="L14" s="1441">
        <f>F14-K14</f>
        <v>1187</v>
      </c>
    </row>
    <row r="15" spans="1:14" ht="15" customHeight="1" thickTop="1" thickBot="1" x14ac:dyDescent="0.25">
      <c r="A15" s="1365" t="s">
        <v>525</v>
      </c>
      <c r="B15" s="1364">
        <v>260</v>
      </c>
      <c r="C15" s="1770">
        <v>42096</v>
      </c>
      <c r="D15" s="1770"/>
      <c r="E15" s="1770">
        <v>42096</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8789457</v>
      </c>
      <c r="D16" s="1764">
        <f>SUM(D3,D5:D6,D8:D10,D12:D15)</f>
        <v>180035</v>
      </c>
      <c r="E16" s="1764">
        <f>SUM(E3,E5:E6,E8:E10,E12:E15)</f>
        <v>42096</v>
      </c>
      <c r="F16" s="1764">
        <f>SUM(F3,F5:F6,F8:F10,F12:F15)</f>
        <v>8927396</v>
      </c>
      <c r="G16" s="681"/>
      <c r="H16" s="1434">
        <f>SUM(H3,H6,H8:H10,H12:H14,)</f>
        <v>4422385</v>
      </c>
      <c r="I16" s="1434">
        <f>SUM(I3,I6,I8:I10,I12:I14,)</f>
        <v>250954</v>
      </c>
      <c r="J16" s="1434">
        <f>SUM(J3,J6,J8:J10,J12:J14,)</f>
        <v>0</v>
      </c>
      <c r="K16" s="1434">
        <f>(H16+I16)-J16</f>
        <v>4673339</v>
      </c>
      <c r="L16" s="1434">
        <f>F16-K16</f>
        <v>4254057</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250954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3" t="str">
        <f>"ESTIMATED OPERATING EXPENSE PER PUPIL (OEPP)/PER CAPITA TUITION CHARGE (PCTC) COMPUTATIONS ("&amp;'AFR20'!E2-1&amp;" - "&amp;'AFR20'!E2&amp;")"</f>
        <v>ESTIMATED OPERATING EXPENSE PER PUPIL (OEPP)/PER CAPITA TUITION CHARGE (PCTC) COMPUTATIONS (2019 - 2020)</v>
      </c>
      <c r="B1" s="2414"/>
      <c r="C1" s="2414"/>
      <c r="D1" s="2414"/>
      <c r="E1" s="2414"/>
      <c r="F1" s="2415"/>
      <c r="G1" s="691"/>
      <c r="I1" s="701"/>
    </row>
    <row r="2" spans="1:9" ht="15" customHeight="1" thickBot="1" x14ac:dyDescent="0.25">
      <c r="A2" s="2416" t="s">
        <v>474</v>
      </c>
      <c r="B2" s="2417"/>
      <c r="C2" s="2417"/>
      <c r="D2" s="2417"/>
      <c r="E2" s="2417"/>
      <c r="F2" s="241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9"/>
      <c r="B5" s="2420"/>
      <c r="C5" s="2420"/>
      <c r="D5" s="2420"/>
      <c r="E5" s="2420"/>
      <c r="F5" s="2420"/>
    </row>
    <row r="6" spans="1:9" ht="13.5" customHeight="1" thickBot="1" x14ac:dyDescent="0.25">
      <c r="A6" s="2410" t="s">
        <v>1095</v>
      </c>
      <c r="B6" s="2411"/>
      <c r="C6" s="2411"/>
      <c r="D6" s="2411"/>
      <c r="E6" s="2411"/>
      <c r="F6" s="241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2733902</v>
      </c>
      <c r="G8" s="701"/>
    </row>
    <row r="9" spans="1:9" x14ac:dyDescent="0.2">
      <c r="A9" s="705" t="s">
        <v>457</v>
      </c>
      <c r="B9" s="706" t="s">
        <v>1848</v>
      </c>
      <c r="C9" s="707"/>
      <c r="D9" s="705" t="s">
        <v>498</v>
      </c>
      <c r="E9" s="704"/>
      <c r="F9" s="1774">
        <f>'Expenditures 15-22'!K151</f>
        <v>282258</v>
      </c>
      <c r="G9" s="708"/>
    </row>
    <row r="10" spans="1:9" x14ac:dyDescent="0.2">
      <c r="A10" s="705" t="s">
        <v>496</v>
      </c>
      <c r="B10" s="706" t="s">
        <v>1849</v>
      </c>
      <c r="C10" s="707"/>
      <c r="D10" s="705" t="s">
        <v>498</v>
      </c>
      <c r="E10" s="704"/>
      <c r="F10" s="1774">
        <f>'Expenditures 15-22'!K174</f>
        <v>226815</v>
      </c>
      <c r="G10" s="708"/>
    </row>
    <row r="11" spans="1:9" x14ac:dyDescent="0.2">
      <c r="A11" s="705" t="s">
        <v>458</v>
      </c>
      <c r="B11" s="706" t="s">
        <v>1850</v>
      </c>
      <c r="C11" s="707"/>
      <c r="D11" s="705" t="s">
        <v>498</v>
      </c>
      <c r="E11" s="704"/>
      <c r="F11" s="1774">
        <f>'Expenditures 15-22'!K210</f>
        <v>262031</v>
      </c>
      <c r="G11" s="708"/>
    </row>
    <row r="12" spans="1:9" x14ac:dyDescent="0.2">
      <c r="A12" s="705" t="s">
        <v>459</v>
      </c>
      <c r="B12" s="706" t="s">
        <v>1851</v>
      </c>
      <c r="C12" s="707"/>
      <c r="D12" s="705" t="s">
        <v>498</v>
      </c>
      <c r="E12" s="704"/>
      <c r="F12" s="1774">
        <f>'Expenditures 15-22'!K295</f>
        <v>112352</v>
      </c>
      <c r="G12" s="708"/>
    </row>
    <row r="13" spans="1:9" x14ac:dyDescent="0.2">
      <c r="A13" s="705" t="s">
        <v>106</v>
      </c>
      <c r="B13" s="706" t="s">
        <v>1852</v>
      </c>
      <c r="C13" s="707"/>
      <c r="D13" s="705" t="s">
        <v>498</v>
      </c>
      <c r="E13" s="704"/>
      <c r="F13" s="1774">
        <f>'Expenditures 15-22'!K342</f>
        <v>207779</v>
      </c>
      <c r="G13" s="709"/>
    </row>
    <row r="14" spans="1:9" ht="12" customHeight="1" thickBot="1" x14ac:dyDescent="0.25">
      <c r="A14" s="1442"/>
      <c r="B14" s="1443"/>
      <c r="C14" s="1444"/>
      <c r="D14" s="1445" t="s">
        <v>498</v>
      </c>
      <c r="E14" s="1446" t="s">
        <v>952</v>
      </c>
      <c r="F14" s="1775">
        <f>SUM(F8:F13)</f>
        <v>3825137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80910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261229</v>
      </c>
      <c r="G53" s="701"/>
    </row>
    <row r="54" spans="1:7" x14ac:dyDescent="0.2">
      <c r="A54" s="705" t="s">
        <v>456</v>
      </c>
      <c r="B54" s="705" t="s">
        <v>1459</v>
      </c>
      <c r="C54" s="724" t="s">
        <v>975</v>
      </c>
      <c r="D54" s="720" t="s">
        <v>1086</v>
      </c>
      <c r="E54" s="704"/>
      <c r="F54" s="1781">
        <f>'Expenditures 15-22'!G114</f>
        <v>12688</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4731</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185000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22120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13890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580568</v>
      </c>
      <c r="G77" s="701"/>
    </row>
    <row r="78" spans="1:9" s="728" customFormat="1" ht="12" customHeight="1" thickTop="1" thickBot="1" x14ac:dyDescent="0.25">
      <c r="A78" s="1449"/>
      <c r="B78" s="1447"/>
      <c r="C78" s="1444"/>
      <c r="D78" s="1448" t="s">
        <v>2012</v>
      </c>
      <c r="E78" s="1446"/>
      <c r="F78" s="1787">
        <f>(F14-F77)</f>
        <v>3244569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238.8</v>
      </c>
      <c r="G79" s="733"/>
      <c r="H79" s="705"/>
      <c r="I79" s="705"/>
    </row>
    <row r="80" spans="1:9" s="728" customFormat="1" ht="12" customHeight="1" thickBot="1" x14ac:dyDescent="0.25">
      <c r="A80" s="1451"/>
      <c r="B80" s="1447"/>
      <c r="C80" s="1444"/>
      <c r="D80" s="1448" t="s">
        <v>2013</v>
      </c>
      <c r="E80" s="1446" t="s">
        <v>952</v>
      </c>
      <c r="F80" s="1789">
        <f>IF(F79&gt;0,F78/F79," Complete Line 79")</f>
        <v>13586.972361809045</v>
      </c>
      <c r="G80" s="705"/>
    </row>
    <row r="81" spans="1:7" s="728" customFormat="1" ht="8.25" customHeight="1" thickTop="1" x14ac:dyDescent="0.2">
      <c r="A81" s="734"/>
      <c r="B81" s="705"/>
      <c r="C81" s="707"/>
      <c r="D81" s="735"/>
      <c r="E81" s="704"/>
      <c r="F81" s="1790"/>
      <c r="G81" s="705"/>
    </row>
    <row r="82" spans="1:7" s="728" customFormat="1" ht="12" thickBot="1" x14ac:dyDescent="0.25">
      <c r="A82" s="2410" t="s">
        <v>1096</v>
      </c>
      <c r="B82" s="2411"/>
      <c r="C82" s="2411"/>
      <c r="D82" s="2411"/>
      <c r="E82" s="2411"/>
      <c r="F82" s="241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27596</v>
      </c>
      <c r="G95" s="745"/>
    </row>
    <row r="96" spans="1:7" x14ac:dyDescent="0.2">
      <c r="A96" s="741" t="s">
        <v>139</v>
      </c>
      <c r="B96" s="741" t="s">
        <v>174</v>
      </c>
      <c r="C96" s="743">
        <v>1700</v>
      </c>
      <c r="D96" s="751" t="str">
        <f>'Revenues 9-14'!A82</f>
        <v>Total District/School Activity Income</v>
      </c>
      <c r="E96" s="739"/>
      <c r="F96" s="1792">
        <f>SUM('Revenues 9-14'!C82,'Revenues 9-14'!D82)</f>
        <v>47507</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220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12000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39604</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1366</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691</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2332</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145105</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21768</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85528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46231</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10596</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122276</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4522</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4227</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2761</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100447</v>
      </c>
      <c r="G172" s="760"/>
    </row>
    <row r="173" spans="1:7" x14ac:dyDescent="0.2">
      <c r="A173" s="1528" t="s">
        <v>659</v>
      </c>
      <c r="B173" s="1529" t="s">
        <v>1885</v>
      </c>
      <c r="C173" s="1530">
        <v>3300</v>
      </c>
      <c r="D173" s="1531" t="s">
        <v>1888</v>
      </c>
      <c r="E173" s="739"/>
      <c r="F173" s="1793">
        <v>116</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675643</v>
      </c>
    </row>
    <row r="176" spans="1:7" ht="12" customHeight="1" x14ac:dyDescent="0.2">
      <c r="A176" s="1442"/>
      <c r="B176" s="1452"/>
      <c r="C176" s="1453"/>
      <c r="D176" s="1454" t="s">
        <v>2014</v>
      </c>
      <c r="E176" s="1455"/>
      <c r="F176" s="1792">
        <f>'PCTC-OEPP 27-28'!F78-F175</f>
        <v>2568926</v>
      </c>
    </row>
    <row r="177" spans="1:9" ht="12" customHeight="1" x14ac:dyDescent="0.2">
      <c r="A177" s="1442"/>
      <c r="B177" s="1452"/>
      <c r="C177" s="1453"/>
      <c r="D177" s="1454" t="s">
        <v>1794</v>
      </c>
      <c r="E177" s="1455"/>
      <c r="F177" s="1792">
        <f>'Cap Outlay Deprec 26'!I18</f>
        <v>250954</v>
      </c>
    </row>
    <row r="178" spans="1:9" ht="12" customHeight="1" x14ac:dyDescent="0.2">
      <c r="A178" s="1442"/>
      <c r="B178" s="1452"/>
      <c r="C178" s="1453"/>
      <c r="D178" s="1454" t="s">
        <v>2015</v>
      </c>
      <c r="E178" s="1455"/>
      <c r="F178" s="1792">
        <f>F176+F177</f>
        <v>2819880</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238.8</v>
      </c>
      <c r="G179" s="763"/>
      <c r="I179" s="701"/>
    </row>
    <row r="180" spans="1:9" ht="12" customHeight="1" thickBot="1" x14ac:dyDescent="0.25">
      <c r="A180" s="1442"/>
      <c r="B180" s="1456"/>
      <c r="C180" s="1453"/>
      <c r="D180" s="1454" t="s">
        <v>2017</v>
      </c>
      <c r="E180" s="1455" t="s">
        <v>1528</v>
      </c>
      <c r="F180" s="1797">
        <f>F178/F179</f>
        <v>11808.542713567838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424" t="s">
        <v>1795</v>
      </c>
      <c r="B4" s="2425"/>
      <c r="C4" s="2425"/>
      <c r="D4" s="2425"/>
      <c r="E4" s="2425"/>
      <c r="F4" s="2426"/>
    </row>
    <row r="5" spans="1:6" x14ac:dyDescent="0.25">
      <c r="A5" s="2427"/>
      <c r="B5" s="2428"/>
      <c r="C5" s="2428"/>
      <c r="D5" s="2428"/>
      <c r="E5" s="2428"/>
      <c r="F5" s="2429"/>
    </row>
    <row r="6" spans="1:6" ht="18.75" x14ac:dyDescent="0.25">
      <c r="A6" s="1866" t="s">
        <v>1796</v>
      </c>
      <c r="B6" s="1867"/>
      <c r="C6" s="1868"/>
      <c r="D6" s="1868"/>
      <c r="E6" s="1868"/>
      <c r="F6" s="1869"/>
    </row>
    <row r="7" spans="1:6" ht="47.25" customHeight="1" x14ac:dyDescent="0.25">
      <c r="A7" s="2430" t="s">
        <v>1985</v>
      </c>
      <c r="B7" s="2431"/>
      <c r="C7" s="2431"/>
      <c r="D7" s="2431"/>
      <c r="E7" s="2431"/>
      <c r="F7" s="2432"/>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433" t="s">
        <v>1981</v>
      </c>
      <c r="B10" s="2434"/>
      <c r="C10" s="2434"/>
      <c r="D10" s="2434"/>
      <c r="E10" s="2434"/>
      <c r="F10" s="2435"/>
    </row>
    <row r="11" spans="1:6" ht="33" customHeight="1" x14ac:dyDescent="0.25">
      <c r="A11" s="2430" t="s">
        <v>1986</v>
      </c>
      <c r="B11" s="2431"/>
      <c r="C11" s="2431"/>
      <c r="D11" s="2431"/>
      <c r="E11" s="2431"/>
      <c r="F11" s="2432"/>
    </row>
    <row r="12" spans="1:6" ht="15" customHeight="1" x14ac:dyDescent="0.25">
      <c r="A12" s="1872" t="s">
        <v>1982</v>
      </c>
      <c r="B12" s="1873"/>
      <c r="C12" s="1874"/>
      <c r="D12" s="1874"/>
      <c r="E12" s="1874"/>
      <c r="F12" s="1875"/>
    </row>
    <row r="13" spans="1:6" ht="17.25" customHeight="1" x14ac:dyDescent="0.25">
      <c r="A13" s="2430" t="s">
        <v>1983</v>
      </c>
      <c r="B13" s="2431"/>
      <c r="C13" s="2431"/>
      <c r="D13" s="2431"/>
      <c r="E13" s="2431"/>
      <c r="F13" s="2432"/>
    </row>
    <row r="14" spans="1:6" ht="15" customHeight="1" x14ac:dyDescent="0.25">
      <c r="A14" s="1872" t="s">
        <v>1800</v>
      </c>
      <c r="B14" s="1873"/>
      <c r="C14" s="1874"/>
      <c r="D14" s="1874"/>
      <c r="E14" s="1874"/>
      <c r="F14" s="1875"/>
    </row>
    <row r="15" spans="1:6" ht="32.25" customHeight="1" x14ac:dyDescent="0.25">
      <c r="A15" s="242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2"/>
      <c r="C15" s="2422"/>
      <c r="D15" s="2422"/>
      <c r="E15" s="2422"/>
      <c r="F15" s="2423"/>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83" t="s">
        <v>2108</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hidden="1" x14ac:dyDescent="0.25">
      <c r="A22" s="1887"/>
      <c r="B22" s="1907"/>
      <c r="C22" s="1884"/>
      <c r="D22" s="1885"/>
      <c r="E22" s="1905">
        <f t="shared" si="0"/>
        <v>0</v>
      </c>
      <c r="F22" s="1905" t="str">
        <f t="shared" si="1"/>
        <v>0</v>
      </c>
    </row>
    <row r="23" spans="1:7" hidden="1" x14ac:dyDescent="0.25">
      <c r="A23" s="1887"/>
      <c r="B23" s="1907"/>
      <c r="C23" s="1884"/>
      <c r="D23" s="1885"/>
      <c r="E23" s="1905">
        <f t="shared" si="0"/>
        <v>0</v>
      </c>
      <c r="F23" s="1905" t="str">
        <f t="shared" si="1"/>
        <v>0</v>
      </c>
    </row>
    <row r="24" spans="1:7" hidden="1" x14ac:dyDescent="0.25">
      <c r="A24" s="1887"/>
      <c r="B24" s="1907"/>
      <c r="C24" s="1884"/>
      <c r="D24" s="1885"/>
      <c r="E24" s="1905">
        <f t="shared" si="0"/>
        <v>0</v>
      </c>
      <c r="F24" s="1905" t="str">
        <f t="shared" si="1"/>
        <v>0</v>
      </c>
    </row>
    <row r="25" spans="1:7" hidden="1" x14ac:dyDescent="0.25">
      <c r="A25" s="1887"/>
      <c r="B25" s="1907"/>
      <c r="C25" s="1884"/>
      <c r="D25" s="1885"/>
      <c r="E25" s="1905">
        <f t="shared" si="0"/>
        <v>0</v>
      </c>
      <c r="F25" s="1905" t="str">
        <f t="shared" si="1"/>
        <v>0</v>
      </c>
    </row>
    <row r="26" spans="1:7" hidden="1" x14ac:dyDescent="0.25">
      <c r="A26" s="1887"/>
      <c r="B26" s="1907"/>
      <c r="C26" s="1884"/>
      <c r="D26" s="1885"/>
      <c r="E26" s="1905">
        <f t="shared" si="0"/>
        <v>0</v>
      </c>
      <c r="F26" s="1905" t="str">
        <f t="shared" si="1"/>
        <v>0</v>
      </c>
    </row>
    <row r="27" spans="1:7" hidden="1" x14ac:dyDescent="0.25">
      <c r="A27" s="1887"/>
      <c r="B27" s="1907"/>
      <c r="C27" s="1888"/>
      <c r="D27" s="1885"/>
      <c r="E27" s="1905">
        <f t="shared" si="0"/>
        <v>0</v>
      </c>
      <c r="F27" s="1905" t="str">
        <f t="shared" si="1"/>
        <v>0</v>
      </c>
    </row>
    <row r="28" spans="1:7" hidden="1" x14ac:dyDescent="0.25">
      <c r="A28" s="1887"/>
      <c r="B28" s="1907"/>
      <c r="C28" s="1888"/>
      <c r="D28" s="1885"/>
      <c r="E28" s="1905">
        <f t="shared" si="0"/>
        <v>0</v>
      </c>
      <c r="F28" s="1905" t="str">
        <f t="shared" si="1"/>
        <v>0</v>
      </c>
    </row>
    <row r="29" spans="1:7" hidden="1" x14ac:dyDescent="0.25">
      <c r="A29" s="1887"/>
      <c r="B29" s="1907"/>
      <c r="C29" s="1888"/>
      <c r="D29" s="1885"/>
      <c r="E29" s="1905">
        <f t="shared" si="0"/>
        <v>0</v>
      </c>
      <c r="F29" s="1905" t="str">
        <f t="shared" si="1"/>
        <v>0</v>
      </c>
    </row>
    <row r="30" spans="1:7" hidden="1" x14ac:dyDescent="0.25">
      <c r="A30" s="1887"/>
      <c r="B30" s="1907"/>
      <c r="C30" s="1888"/>
      <c r="D30" s="1885"/>
      <c r="E30" s="1905">
        <f t="shared" si="0"/>
        <v>0</v>
      </c>
      <c r="F30" s="1905" t="str">
        <f t="shared" si="1"/>
        <v>0</v>
      </c>
    </row>
    <row r="31" spans="1:7" hidden="1" x14ac:dyDescent="0.25">
      <c r="A31" s="1887"/>
      <c r="B31" s="1907"/>
      <c r="C31" s="1888"/>
      <c r="D31" s="1885"/>
      <c r="E31" s="1905">
        <f t="shared" si="0"/>
        <v>0</v>
      </c>
      <c r="F31" s="1905" t="str">
        <f t="shared" si="1"/>
        <v>0</v>
      </c>
    </row>
    <row r="32" spans="1:7" hidden="1" x14ac:dyDescent="0.25">
      <c r="A32" s="1887"/>
      <c r="B32" s="1907"/>
      <c r="C32" s="1888"/>
      <c r="D32" s="1885"/>
      <c r="E32" s="1905">
        <f t="shared" si="0"/>
        <v>0</v>
      </c>
      <c r="F32" s="1905" t="str">
        <f t="shared" si="1"/>
        <v>0</v>
      </c>
    </row>
    <row r="33" spans="1:6" hidden="1" x14ac:dyDescent="0.25">
      <c r="A33" s="1887"/>
      <c r="B33" s="1907"/>
      <c r="C33" s="1888"/>
      <c r="D33" s="1885"/>
      <c r="E33" s="1905">
        <f t="shared" si="0"/>
        <v>0</v>
      </c>
      <c r="F33" s="1905" t="str">
        <f t="shared" si="1"/>
        <v>0</v>
      </c>
    </row>
    <row r="34" spans="1:6" hidden="1"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6" t="s">
        <v>1660</v>
      </c>
      <c r="B5" s="2437"/>
      <c r="C5" s="2437"/>
      <c r="D5" s="2437"/>
      <c r="E5" s="2437"/>
      <c r="F5" s="2437"/>
      <c r="G5" s="2438"/>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1894</v>
      </c>
      <c r="B10" s="803"/>
      <c r="C10" s="807"/>
      <c r="D10" s="804"/>
      <c r="E10" s="1799">
        <v>55049</v>
      </c>
      <c r="F10" s="805"/>
      <c r="G10" s="806"/>
      <c r="H10" s="157"/>
      <c r="I10" s="157"/>
    </row>
    <row r="11" spans="1:13" s="542" customFormat="1" ht="22.5" customHeight="1" x14ac:dyDescent="0.2">
      <c r="A11" s="244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2"/>
      <c r="C11" s="2442"/>
      <c r="D11" s="2443"/>
      <c r="E11" s="1800">
        <v>10790</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1766235</v>
      </c>
      <c r="F19" s="1801"/>
      <c r="G19" s="1803">
        <f>'Expenditures 15-22'!K33-SUM('Expenditures 15-22'!G33,'Expenditures 15-22'!I33)+'Expenditures 15-22'!D229</f>
        <v>1766235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110073</v>
      </c>
      <c r="F21" s="1804"/>
      <c r="G21" s="1807">
        <f>'Expenditures 15-22'!K42-SUM('Expenditures 15-22'!G42,'Expenditures 15-22'!I42)+'Expenditures 15-22'!K120-SUM('Expenditures 15-22'!G120,'Expenditures 15-22'!I120)+'Expenditures 15-22'!K180-SUM('Expenditures 15-22'!G180,'Expenditures 15-22'!I180)+'Expenditures 15-22'!D238</f>
        <v>110073</v>
      </c>
      <c r="H21" s="817"/>
      <c r="I21" s="157"/>
    </row>
    <row r="22" spans="1:9" s="542" customFormat="1" ht="12" customHeight="1" x14ac:dyDescent="0.2">
      <c r="A22" s="824" t="s">
        <v>560</v>
      </c>
      <c r="B22" s="825"/>
      <c r="C22" s="823">
        <v>2200</v>
      </c>
      <c r="D22" s="1804"/>
      <c r="E22" s="1806">
        <f>'Expenditures 15-22'!K47-SUM('Expenditures 15-22'!G47,'Expenditures 15-22'!I47)+'Expenditures 15-22'!D243</f>
        <v>162776</v>
      </c>
      <c r="F22" s="1804"/>
      <c r="G22" s="1807">
        <f>'Expenditures 15-22'!K47-SUM('Expenditures 15-22'!G47,'Expenditures 15-22'!I47)+'Expenditures 15-22'!D243</f>
        <v>162776</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314746</v>
      </c>
      <c r="F23" s="1804"/>
      <c r="G23" s="1806">
        <f>'Expenditures 15-22'!K53-SUM('Expenditures 15-22'!G53,'Expenditures 15-22'!I53)+'Expenditures 15-22'!D257+'Expenditures 15-22'!K330-SUM('Expenditures 15-22'!G330,'Expenditures 15-22'!I330)</f>
        <v>314746</v>
      </c>
      <c r="H23" s="817"/>
      <c r="I23" s="157"/>
    </row>
    <row r="24" spans="1:9" s="542" customFormat="1" ht="12" customHeight="1" x14ac:dyDescent="0.2">
      <c r="A24" s="824" t="s">
        <v>562</v>
      </c>
      <c r="B24" s="825"/>
      <c r="C24" s="823">
        <v>2400</v>
      </c>
      <c r="D24" s="1804"/>
      <c r="E24" s="1806">
        <f>'Expenditures 15-22'!K57-SUM('Expenditures 15-22'!G57,'Expenditures 15-22'!I57)+'Expenditures 15-22'!D261</f>
        <v>193214</v>
      </c>
      <c r="F24" s="1804"/>
      <c r="G24" s="1807">
        <f>'Expenditures 15-22'!K57-SUM('Expenditures 15-22'!G57,'Expenditures 15-22'!I57)+'Expenditures 15-22'!D261</f>
        <v>193214</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72860</v>
      </c>
      <c r="E27" s="1806">
        <f>E8</f>
        <v>0</v>
      </c>
      <c r="F27" s="1806">
        <f>'Expenditures 15-22'!K60-SUM('Expenditures 15-22'!G60,'Expenditures 15-22'!I60)+'Expenditures 15-22'!D264-E8</f>
        <v>72860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290697</v>
      </c>
      <c r="F28" s="1808">
        <f>'Expenditures 15-22'!K61-SUM('Expenditures 15-22'!G61,'Expenditures 15-22'!I61)+'Expenditures 15-22'!K124-SUM('Expenditures 15-22'!G124,'Expenditures 15-22'!I124)+'Expenditures 15-22'!D266-E9</f>
        <v>290697</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253504</v>
      </c>
      <c r="F29" s="1804"/>
      <c r="G29" s="1807">
        <f>'Expenditures 15-22'!K62-SUM('Expenditures 15-22'!G62,'Expenditures 15-22'!I62)+'Expenditures 15-22'!K125-SUM('Expenditures 15-22'!G125,'Expenditures 15-22'!I125)+'Expenditures 15-22'!K182-SUM('Expenditures 15-22'!G182,'Expenditures 15-22'!I182)+'Expenditures 15-22'!D267</f>
        <v>253504</v>
      </c>
      <c r="H29" s="815"/>
    </row>
    <row r="30" spans="1:9" ht="12" customHeight="1" x14ac:dyDescent="0.2">
      <c r="A30" s="824" t="s">
        <v>100</v>
      </c>
      <c r="B30" s="827"/>
      <c r="C30" s="823">
        <v>2560</v>
      </c>
      <c r="D30" s="1804"/>
      <c r="E30" s="1806">
        <f>'Expenditures 15-22'!K63-SUM('Expenditures 15-22'!G63,'Expenditures 15-22'!I63)+'Expenditures 15-22'!D268-E10</f>
        <v>64510</v>
      </c>
      <c r="F30" s="1804"/>
      <c r="G30" s="1806">
        <f>'Expenditures 15-22'!K63-SUM('Expenditures 15-22'!G63,'Expenditures 15-22'!I63)+'Expenditures 15-22'!D268-E10</f>
        <v>64510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72860</v>
      </c>
      <c r="E41" s="1808">
        <f>SUM(E19:E40)</f>
        <v>3155755</v>
      </c>
      <c r="F41" s="1808">
        <f>SUM(F19:F39)</f>
        <v>363557</v>
      </c>
      <c r="G41" s="1808">
        <f>SUM(G19:G40)</f>
        <v>2865058</v>
      </c>
    </row>
    <row r="42" spans="1:7" x14ac:dyDescent="0.2">
      <c r="A42" s="817"/>
      <c r="B42" s="157"/>
      <c r="C42" s="831"/>
      <c r="D42" s="2439" t="s">
        <v>519</v>
      </c>
      <c r="E42" s="2440"/>
      <c r="F42" s="832" t="s">
        <v>520</v>
      </c>
      <c r="G42" s="833"/>
    </row>
    <row r="43" spans="1:7" ht="12" customHeight="1" x14ac:dyDescent="0.2">
      <c r="A43" s="817"/>
      <c r="B43" s="157"/>
      <c r="C43" s="831"/>
      <c r="D43" s="1457" t="s">
        <v>470</v>
      </c>
      <c r="E43" s="1809">
        <f>D41</f>
        <v>72860</v>
      </c>
      <c r="F43" s="1457" t="s">
        <v>470</v>
      </c>
      <c r="G43" s="1809">
        <f>F41</f>
        <v>363557</v>
      </c>
    </row>
    <row r="44" spans="1:7" ht="12" customHeight="1" x14ac:dyDescent="0.2">
      <c r="A44" s="817"/>
      <c r="B44" s="157"/>
      <c r="C44" s="831"/>
      <c r="D44" s="1457" t="s">
        <v>471</v>
      </c>
      <c r="E44" s="1809">
        <f>E41</f>
        <v>3155755</v>
      </c>
      <c r="F44" s="1457" t="s">
        <v>471</v>
      </c>
      <c r="G44" s="1809">
        <f>G41</f>
        <v>2865058</v>
      </c>
    </row>
    <row r="45" spans="1:7" ht="12" customHeight="1" x14ac:dyDescent="0.2">
      <c r="A45" s="817"/>
      <c r="B45" s="157"/>
      <c r="C45" s="157"/>
      <c r="D45" s="1458" t="s">
        <v>999</v>
      </c>
      <c r="E45" s="1810">
        <f>(E43/E44)</f>
        <v>2.3087977361994198E-2</v>
      </c>
      <c r="F45" s="1458" t="s">
        <v>999</v>
      </c>
      <c r="G45" s="1810">
        <f>(G43/G44)</f>
        <v>0.12689341716642386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58" t="s">
        <v>1363</v>
      </c>
      <c r="B1" s="2458"/>
      <c r="C1" s="2458"/>
      <c r="D1" s="2458"/>
      <c r="E1" s="2458"/>
      <c r="F1" s="2458"/>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59" t="s">
        <v>1529</v>
      </c>
      <c r="B5" s="2460"/>
      <c r="C5" s="2461"/>
      <c r="D5" s="2461"/>
      <c r="E5" s="2461"/>
      <c r="F5" s="2461"/>
      <c r="G5" s="1506"/>
      <c r="L5" s="1506"/>
      <c r="M5" s="1854"/>
      <c r="N5" s="1854"/>
      <c r="O5" s="1854"/>
    </row>
    <row r="6" spans="1:15" ht="12" customHeight="1" x14ac:dyDescent="0.25">
      <c r="A6" s="1479"/>
      <c r="B6" s="1480"/>
      <c r="C6" s="2462" t="str">
        <f>COVER!A17</f>
        <v>Leland CUSD 1</v>
      </c>
      <c r="D6" s="2462"/>
      <c r="E6" s="2462"/>
      <c r="F6" s="1481"/>
      <c r="G6" s="1506"/>
      <c r="L6" s="1506"/>
      <c r="M6" s="1854"/>
      <c r="N6" s="1854"/>
      <c r="O6" s="1854"/>
    </row>
    <row r="7" spans="1:15" ht="11.25" customHeight="1" thickBot="1" x14ac:dyDescent="0.3">
      <c r="A7" s="1479"/>
      <c r="B7" s="1480"/>
      <c r="C7" s="2463">
        <f>COVER!A13</f>
        <v>35050001026</v>
      </c>
      <c r="D7" s="2463"/>
      <c r="E7" s="2463"/>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t="s">
        <v>2051</v>
      </c>
      <c r="D15" s="1494" t="s">
        <v>2051</v>
      </c>
      <c r="E15" s="1497"/>
      <c r="F15" s="1496" t="s">
        <v>2109</v>
      </c>
      <c r="G15" s="1506"/>
      <c r="H15" s="1506">
        <f t="shared" si="0"/>
        <v>5</v>
      </c>
      <c r="I15" s="1506">
        <f t="shared" si="1"/>
        <v>5</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2051</v>
      </c>
      <c r="D24" s="1494" t="s">
        <v>2051</v>
      </c>
      <c r="E24" s="1497"/>
      <c r="F24" s="1496" t="s">
        <v>2110</v>
      </c>
      <c r="G24" s="1506"/>
      <c r="H24" s="1506">
        <f t="shared" si="0"/>
        <v>5</v>
      </c>
      <c r="I24" s="1506">
        <f t="shared" si="1"/>
        <v>5</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2111</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t="s">
        <v>2051</v>
      </c>
      <c r="D30" s="1494" t="s">
        <v>2051</v>
      </c>
      <c r="E30" s="1497"/>
      <c r="F30" s="1496" t="s">
        <v>2112</v>
      </c>
      <c r="G30" s="1506"/>
      <c r="H30" s="1506">
        <f t="shared" si="0"/>
        <v>5</v>
      </c>
      <c r="I30" s="1506">
        <f t="shared" si="1"/>
        <v>5</v>
      </c>
      <c r="J30" s="1506">
        <f t="shared" si="2"/>
        <v>0</v>
      </c>
      <c r="L30" s="1506"/>
      <c r="M30" s="1854"/>
      <c r="N30" s="1854"/>
      <c r="O30" s="1854"/>
    </row>
    <row r="31" spans="1:15" ht="12" customHeight="1" x14ac:dyDescent="0.2">
      <c r="A31" s="1492" t="s">
        <v>1522</v>
      </c>
      <c r="B31" s="1493"/>
      <c r="C31" s="1494" t="s">
        <v>2051</v>
      </c>
      <c r="D31" s="1494" t="s">
        <v>2051</v>
      </c>
      <c r="E31" s="1497"/>
      <c r="F31" s="1496" t="s">
        <v>2113</v>
      </c>
      <c r="G31" s="1506"/>
      <c r="H31" s="1506">
        <f t="shared" si="0"/>
        <v>5</v>
      </c>
      <c r="I31" s="1506">
        <f t="shared" si="1"/>
        <v>5</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25</v>
      </c>
      <c r="I34" s="1506">
        <f>SUM(I11:I32)</f>
        <v>25</v>
      </c>
      <c r="J34" s="1506">
        <f>SUM(J11:J32)</f>
        <v>0</v>
      </c>
      <c r="K34" s="1506">
        <f>SUM(H34:J34)</f>
        <v>50</v>
      </c>
      <c r="L34" s="1506"/>
      <c r="M34" s="1854"/>
      <c r="N34" s="1854"/>
      <c r="O34" s="1854"/>
    </row>
    <row r="35" spans="1:15" ht="12" customHeight="1" x14ac:dyDescent="0.2">
      <c r="A35" s="1499" t="s">
        <v>1376</v>
      </c>
      <c r="B35" s="1500"/>
      <c r="C35" s="2464"/>
      <c r="D35" s="2464"/>
      <c r="E35" s="2464"/>
      <c r="F35" s="2465"/>
    </row>
    <row r="36" spans="1:15" ht="12" customHeight="1" x14ac:dyDescent="0.2">
      <c r="A36" s="2447"/>
      <c r="B36" s="2448"/>
      <c r="C36" s="2448"/>
      <c r="D36" s="2448"/>
      <c r="E36" s="2448"/>
      <c r="F36" s="2449"/>
    </row>
    <row r="37" spans="1:15" ht="12" customHeight="1" x14ac:dyDescent="0.2">
      <c r="A37" s="2447"/>
      <c r="B37" s="2448"/>
      <c r="C37" s="2448"/>
      <c r="D37" s="2448"/>
      <c r="E37" s="2448"/>
      <c r="F37" s="2449"/>
    </row>
    <row r="38" spans="1:15" ht="12" customHeight="1" x14ac:dyDescent="0.2">
      <c r="A38" s="2450"/>
      <c r="B38" s="2451"/>
      <c r="C38" s="2451"/>
      <c r="D38" s="2451"/>
      <c r="E38" s="2451"/>
      <c r="F38" s="2452"/>
    </row>
    <row r="39" spans="1:15" ht="4.5" hidden="1" customHeight="1" x14ac:dyDescent="0.2">
      <c r="A39" s="1501"/>
      <c r="B39" s="1501"/>
      <c r="C39" s="1501"/>
      <c r="D39" s="1501"/>
      <c r="E39" s="1501"/>
      <c r="F39" s="1501"/>
    </row>
    <row r="40" spans="1:15" s="1498" customFormat="1" ht="12" customHeight="1" x14ac:dyDescent="0.25">
      <c r="A40" s="1502" t="s">
        <v>1375</v>
      </c>
      <c r="B40" s="1503"/>
      <c r="C40" s="2453"/>
      <c r="D40" s="2453"/>
      <c r="E40" s="2453"/>
      <c r="F40" s="2454"/>
      <c r="H40" s="1507"/>
      <c r="I40" s="1507"/>
      <c r="J40" s="1507"/>
      <c r="K40" s="1507"/>
    </row>
    <row r="41" spans="1:15" s="1498" customFormat="1" ht="12" customHeight="1" x14ac:dyDescent="0.25">
      <c r="A41" s="2455"/>
      <c r="B41" s="2456"/>
      <c r="C41" s="2456"/>
      <c r="D41" s="2456"/>
      <c r="E41" s="2456"/>
      <c r="F41" s="2457"/>
      <c r="H41" s="1507"/>
      <c r="I41" s="1507"/>
      <c r="J41" s="1507"/>
      <c r="K41" s="1507"/>
    </row>
    <row r="42" spans="1:15" s="1498" customFormat="1" ht="12" customHeight="1" x14ac:dyDescent="0.25">
      <c r="A42" s="2455"/>
      <c r="B42" s="2456"/>
      <c r="C42" s="2456"/>
      <c r="D42" s="2456"/>
      <c r="E42" s="2456"/>
      <c r="F42" s="2457"/>
      <c r="H42" s="1507"/>
      <c r="I42" s="1507"/>
      <c r="J42" s="1507"/>
      <c r="K42" s="1507"/>
    </row>
    <row r="43" spans="1:15" s="1498" customFormat="1" ht="15" x14ac:dyDescent="0.25">
      <c r="A43" s="2444"/>
      <c r="B43" s="2445"/>
      <c r="C43" s="2445"/>
      <c r="D43" s="2445"/>
      <c r="E43" s="2445"/>
      <c r="F43" s="2446"/>
      <c r="H43" s="1507"/>
      <c r="I43" s="1507"/>
      <c r="J43" s="1507"/>
      <c r="K43" s="1507"/>
    </row>
    <row r="44" spans="1:15" s="1498" customFormat="1" ht="12" hidden="1" customHeight="1" x14ac:dyDescent="0.25">
      <c r="A44" s="2444"/>
      <c r="B44" s="2445"/>
      <c r="C44" s="2445"/>
      <c r="D44" s="2445"/>
      <c r="E44" s="2445"/>
      <c r="F44" s="2446"/>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6"/>
      <c r="C6" s="1376"/>
      <c r="D6" s="1376"/>
      <c r="E6" s="1377"/>
      <c r="F6" s="1922"/>
      <c r="G6" s="1923"/>
      <c r="H6" s="838"/>
      <c r="I6" s="1924" t="s">
        <v>1021</v>
      </c>
      <c r="J6" s="2484" t="str">
        <f>COVER!A17</f>
        <v>Leland CUSD 1</v>
      </c>
      <c r="K6" s="2484"/>
      <c r="L6" s="2498"/>
      <c r="M6" s="838"/>
      <c r="N6" s="1998"/>
    </row>
    <row r="7" spans="1:14" x14ac:dyDescent="0.2">
      <c r="A7" s="2499" t="s">
        <v>864</v>
      </c>
      <c r="B7" s="2500"/>
      <c r="C7" s="2500"/>
      <c r="D7" s="2500"/>
      <c r="E7" s="2501"/>
      <c r="F7" s="839"/>
      <c r="G7" s="838"/>
      <c r="H7" s="838"/>
      <c r="I7" s="1924" t="s">
        <v>369</v>
      </c>
      <c r="J7" s="2486">
        <f>COVER!A13</f>
        <v>35050001026</v>
      </c>
      <c r="K7" s="2486"/>
      <c r="L7" s="2486"/>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2018</v>
      </c>
      <c r="F9" s="1856"/>
      <c r="G9" s="1856"/>
      <c r="H9" s="1856"/>
      <c r="I9" s="1929" t="s">
        <v>2019</v>
      </c>
      <c r="J9" s="1856"/>
      <c r="K9" s="1856"/>
      <c r="L9" s="1857"/>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02" t="s">
        <v>478</v>
      </c>
      <c r="B11" s="2503"/>
      <c r="C11" s="250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83024</v>
      </c>
      <c r="F12" s="1942"/>
      <c r="G12" s="1968">
        <f>G68</f>
        <v>25753</v>
      </c>
      <c r="H12" s="1944">
        <f t="shared" ref="H12:H18" si="0">SUM(E12:G12)</f>
        <v>108777</v>
      </c>
      <c r="I12" s="1943">
        <v>85982</v>
      </c>
      <c r="J12" s="1942"/>
      <c r="K12" s="1943">
        <v>27298</v>
      </c>
      <c r="L12" s="1944">
        <f t="shared" ref="L12:L18" si="1">SUM(I12:K12)</f>
        <v>113280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05" t="s">
        <v>7</v>
      </c>
      <c r="C18" s="2506"/>
      <c r="D18" s="250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83024</v>
      </c>
      <c r="F19" s="1950">
        <f t="shared" si="2"/>
        <v>0</v>
      </c>
      <c r="G19" s="1950">
        <f t="shared" ref="G19" si="3">SUM(G12:G17)-G18</f>
        <v>25753</v>
      </c>
      <c r="H19" s="1950">
        <f t="shared" si="2"/>
        <v>108777</v>
      </c>
      <c r="I19" s="1950">
        <f t="shared" si="2"/>
        <v>85982</v>
      </c>
      <c r="J19" s="1950">
        <f t="shared" si="2"/>
        <v>0</v>
      </c>
      <c r="K19" s="1950">
        <f t="shared" si="2"/>
        <v>27298</v>
      </c>
      <c r="L19" s="1950">
        <f t="shared" si="2"/>
        <v>113280</v>
      </c>
      <c r="M19" s="838"/>
      <c r="N19" s="1998"/>
    </row>
    <row r="20" spans="1:14" ht="13.5" thickTop="1" x14ac:dyDescent="0.2">
      <c r="A20" s="2003">
        <v>9</v>
      </c>
      <c r="B20" s="2508" t="s">
        <v>2021</v>
      </c>
      <c r="C20" s="2508"/>
      <c r="D20" s="2509"/>
      <c r="E20" s="1951"/>
      <c r="F20" s="1951"/>
      <c r="G20" s="1951"/>
      <c r="H20" s="1951"/>
      <c r="I20" s="1951"/>
      <c r="J20" s="1951"/>
      <c r="K20" s="1951"/>
      <c r="L20" s="1952">
        <f>IF(AND(H19&gt;0,L19&gt;0),(((L19-H19)/H19)),"Enter Budget Data")</f>
        <v>4.139661877051215E-2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10"/>
      <c r="D27" s="2510"/>
      <c r="E27" s="843"/>
      <c r="F27" s="2511"/>
      <c r="G27" s="2511"/>
      <c r="H27" s="2511"/>
      <c r="I27" s="838"/>
      <c r="J27" s="838"/>
      <c r="K27" s="838"/>
      <c r="L27" s="838"/>
      <c r="M27" s="838"/>
      <c r="N27" s="1998"/>
    </row>
    <row r="28" spans="1:14" x14ac:dyDescent="0.2">
      <c r="A28" s="1997"/>
      <c r="B28" s="2007"/>
      <c r="C28" s="1957" t="s">
        <v>1026</v>
      </c>
      <c r="D28" s="844"/>
      <c r="E28" s="1958"/>
      <c r="F28" s="2512" t="s">
        <v>1492</v>
      </c>
      <c r="G28" s="2512"/>
      <c r="H28" s="2512"/>
      <c r="I28" s="838"/>
      <c r="J28" s="838"/>
      <c r="K28" s="838"/>
      <c r="L28" s="838"/>
      <c r="M28" s="838"/>
      <c r="N28" s="1998"/>
    </row>
    <row r="29" spans="1:14" x14ac:dyDescent="0.2">
      <c r="A29" s="1997"/>
      <c r="B29" s="2007"/>
      <c r="C29" s="2513"/>
      <c r="D29" s="2513"/>
      <c r="E29" s="845"/>
      <c r="F29" s="2513"/>
      <c r="G29" s="2513"/>
      <c r="H29" s="2513"/>
      <c r="I29" s="838"/>
      <c r="J29" s="838"/>
      <c r="K29" s="838"/>
      <c r="L29" s="838"/>
      <c r="M29" s="838"/>
      <c r="N29" s="1998"/>
    </row>
    <row r="30" spans="1:14" x14ac:dyDescent="0.2">
      <c r="A30" s="1997"/>
      <c r="B30" s="2007"/>
      <c r="C30" s="1960" t="s">
        <v>1544</v>
      </c>
      <c r="D30" s="838"/>
      <c r="E30" s="1959"/>
      <c r="F30" s="2497" t="s">
        <v>1493</v>
      </c>
      <c r="G30" s="2497"/>
      <c r="H30" s="249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74" t="s">
        <v>2024</v>
      </c>
      <c r="D34" s="2475"/>
      <c r="E34" s="2475"/>
      <c r="F34" s="2475"/>
      <c r="G34" s="2475"/>
      <c r="H34" s="2475"/>
      <c r="I34" s="2475"/>
      <c r="J34" s="2475"/>
      <c r="K34" s="2016"/>
      <c r="L34" s="838"/>
      <c r="M34" s="838"/>
      <c r="N34" s="1998"/>
    </row>
    <row r="35" spans="1:14" x14ac:dyDescent="0.2">
      <c r="A35" s="1997"/>
      <c r="B35" s="838"/>
      <c r="C35" s="2475"/>
      <c r="D35" s="2475"/>
      <c r="E35" s="2475"/>
      <c r="F35" s="2475"/>
      <c r="G35" s="2475"/>
      <c r="H35" s="2475"/>
      <c r="I35" s="2475"/>
      <c r="J35" s="247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74" t="s">
        <v>2025</v>
      </c>
      <c r="D37" s="2475"/>
      <c r="E37" s="2475"/>
      <c r="F37" s="2475"/>
      <c r="G37" s="2475"/>
      <c r="H37" s="2475"/>
      <c r="I37" s="2475"/>
      <c r="J37" s="2475"/>
      <c r="K37" s="2016"/>
      <c r="L37" s="2018"/>
      <c r="M37" s="838"/>
      <c r="N37" s="1998"/>
    </row>
    <row r="38" spans="1:14" x14ac:dyDescent="0.2">
      <c r="A38" s="1997"/>
      <c r="B38" s="838"/>
      <c r="C38" s="2475"/>
      <c r="D38" s="2475"/>
      <c r="E38" s="2475"/>
      <c r="F38" s="2475"/>
      <c r="G38" s="2475"/>
      <c r="H38" s="2475"/>
      <c r="I38" s="2475"/>
      <c r="J38" s="247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76" t="s">
        <v>2026</v>
      </c>
      <c r="D40" s="2477"/>
      <c r="E40" s="2477"/>
      <c r="F40" s="2477"/>
      <c r="G40" s="2477"/>
      <c r="H40" s="2477"/>
      <c r="I40" s="2477"/>
      <c r="J40" s="247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78" t="s">
        <v>2027</v>
      </c>
      <c r="B43" s="2479"/>
      <c r="C43" s="2479"/>
      <c r="D43" s="2479"/>
      <c r="E43" s="2479"/>
      <c r="F43" s="2479"/>
      <c r="G43" s="2479"/>
      <c r="H43" s="2479"/>
      <c r="I43" s="2479"/>
      <c r="J43" s="2479"/>
      <c r="K43" s="2479"/>
      <c r="L43" s="2479"/>
      <c r="M43" s="2479"/>
      <c r="N43" s="248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81" t="s">
        <v>2029</v>
      </c>
      <c r="B46" s="2482"/>
      <c r="C46" s="2482"/>
      <c r="D46" s="2482"/>
      <c r="E46" s="2482"/>
      <c r="F46" s="2482"/>
      <c r="G46" s="2482"/>
      <c r="H46" s="2482"/>
      <c r="I46" s="2482"/>
      <c r="J46" s="2482"/>
      <c r="K46" s="2482"/>
      <c r="L46" s="2482"/>
      <c r="M46" s="2482"/>
      <c r="N46" s="2483"/>
    </row>
    <row r="47" spans="1:14" x14ac:dyDescent="0.2">
      <c r="A47" s="2481"/>
      <c r="B47" s="2482"/>
      <c r="C47" s="2482"/>
      <c r="D47" s="2482"/>
      <c r="E47" s="2482"/>
      <c r="F47" s="2482"/>
      <c r="G47" s="2482"/>
      <c r="H47" s="2482"/>
      <c r="I47" s="2482"/>
      <c r="J47" s="2482"/>
      <c r="K47" s="2482"/>
      <c r="L47" s="2482"/>
      <c r="M47" s="2482"/>
      <c r="N47" s="248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84" t="str">
        <f>J6</f>
        <v>Leland CUSD 1</v>
      </c>
      <c r="M52" s="2484"/>
      <c r="N52" s="2485"/>
    </row>
    <row r="53" spans="1:14" x14ac:dyDescent="0.2">
      <c r="A53" s="1982"/>
      <c r="B53" s="1983"/>
      <c r="C53" s="1983"/>
      <c r="D53" s="1983"/>
      <c r="E53" s="1983"/>
      <c r="F53" s="1983"/>
      <c r="G53" s="1983"/>
      <c r="H53" s="1983"/>
      <c r="I53" s="1983"/>
      <c r="J53" s="1983"/>
      <c r="K53" s="1924" t="s">
        <v>369</v>
      </c>
      <c r="L53" s="2486">
        <f>J7</f>
        <v>35050001026</v>
      </c>
      <c r="M53" s="2486"/>
      <c r="N53" s="248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88"/>
      <c r="B55" s="2489"/>
      <c r="C55" s="2489"/>
      <c r="D55" s="1970"/>
      <c r="E55" s="1970"/>
      <c r="F55" s="1970"/>
      <c r="G55" s="2490" t="s">
        <v>2030</v>
      </c>
      <c r="H55" s="2490"/>
      <c r="I55" s="2490"/>
      <c r="J55" s="2490"/>
      <c r="K55" s="2490"/>
      <c r="L55" s="2490"/>
      <c r="M55" s="2490"/>
      <c r="N55" s="2491"/>
    </row>
    <row r="56" spans="1:14" ht="63.75" x14ac:dyDescent="0.2">
      <c r="A56" s="2492" t="s">
        <v>2031</v>
      </c>
      <c r="B56" s="2493"/>
      <c r="C56" s="249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95" t="s">
        <v>296</v>
      </c>
      <c r="B57" s="2496"/>
      <c r="C57" s="249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72" t="s">
        <v>2041</v>
      </c>
      <c r="B58" s="2473"/>
      <c r="C58" s="2473"/>
      <c r="D58" s="1967">
        <v>2362</v>
      </c>
      <c r="E58" s="1977">
        <f>'Expenditures 15-22'!K320</f>
        <v>1915</v>
      </c>
      <c r="F58" s="1972"/>
      <c r="G58" s="2031"/>
      <c r="H58" s="2032"/>
      <c r="I58" s="2032"/>
      <c r="J58" s="2032"/>
      <c r="K58" s="2032"/>
      <c r="L58" s="2032"/>
      <c r="M58" s="2032">
        <v>1915</v>
      </c>
      <c r="N58" s="1975">
        <f>IF((SUM(G58:M58))=E58,SUM(G58:M58),"Column N does not agree with Column E")</f>
        <v>1915</v>
      </c>
    </row>
    <row r="59" spans="1:14" ht="24.75" customHeight="1" x14ac:dyDescent="0.2">
      <c r="A59" s="2466" t="s">
        <v>297</v>
      </c>
      <c r="B59" s="2467"/>
      <c r="C59" s="246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6" t="s">
        <v>236</v>
      </c>
      <c r="B60" s="2467"/>
      <c r="C60" s="2467"/>
      <c r="D60" s="1967">
        <v>2364</v>
      </c>
      <c r="E60" s="1977">
        <f>'Expenditures 15-22'!K322</f>
        <v>52028</v>
      </c>
      <c r="F60" s="1972"/>
      <c r="G60" s="2031"/>
      <c r="H60" s="2032"/>
      <c r="I60" s="2032"/>
      <c r="J60" s="2032"/>
      <c r="K60" s="2032"/>
      <c r="L60" s="2032"/>
      <c r="M60" s="2032">
        <v>52028</v>
      </c>
      <c r="N60" s="1975">
        <f t="shared" ref="N60:N67" si="4">IF((SUM(G60:M60))=E60,SUM(G60:M60),"Column N does not agree with Column E")</f>
        <v>52028</v>
      </c>
    </row>
    <row r="61" spans="1:14" ht="24.75" customHeight="1" x14ac:dyDescent="0.2">
      <c r="A61" s="2466" t="s">
        <v>697</v>
      </c>
      <c r="B61" s="2467"/>
      <c r="C61" s="2467"/>
      <c r="D61" s="1967">
        <v>2365</v>
      </c>
      <c r="E61" s="1977">
        <f>'Expenditures 15-22'!K323</f>
        <v>1940</v>
      </c>
      <c r="F61" s="1972"/>
      <c r="G61" s="2031"/>
      <c r="H61" s="2032"/>
      <c r="I61" s="2032"/>
      <c r="J61" s="2032"/>
      <c r="K61" s="2032"/>
      <c r="L61" s="2032"/>
      <c r="M61" s="2032">
        <v>1940</v>
      </c>
      <c r="N61" s="1975">
        <f t="shared" si="4"/>
        <v>1940</v>
      </c>
    </row>
    <row r="62" spans="1:14" ht="24" customHeight="1" x14ac:dyDescent="0.2">
      <c r="A62" s="2466" t="s">
        <v>237</v>
      </c>
      <c r="B62" s="2467"/>
      <c r="C62" s="2467"/>
      <c r="D62" s="1967">
        <v>2366</v>
      </c>
      <c r="E62" s="1977">
        <f>'Expenditures 15-22'!K324</f>
        <v>0</v>
      </c>
      <c r="F62" s="1972"/>
      <c r="G62" s="2031"/>
      <c r="H62" s="2032"/>
      <c r="I62" s="2032"/>
      <c r="J62" s="2032"/>
      <c r="K62" s="2032"/>
      <c r="L62" s="2032"/>
      <c r="M62" s="2032"/>
      <c r="N62" s="1975">
        <f t="shared" si="4"/>
        <v>0</v>
      </c>
    </row>
    <row r="63" spans="1:14" ht="24" customHeight="1" x14ac:dyDescent="0.2">
      <c r="A63" s="2472" t="s">
        <v>1022</v>
      </c>
      <c r="B63" s="2473"/>
      <c r="C63" s="2473"/>
      <c r="D63" s="1967">
        <v>2367</v>
      </c>
      <c r="E63" s="1977">
        <f>'Expenditures 15-22'!K325</f>
        <v>139165</v>
      </c>
      <c r="F63" s="1972"/>
      <c r="G63" s="2031">
        <v>25753</v>
      </c>
      <c r="H63" s="2032"/>
      <c r="I63" s="2032"/>
      <c r="J63" s="2032"/>
      <c r="K63" s="2032"/>
      <c r="L63" s="2032"/>
      <c r="M63" s="2032">
        <v>113412</v>
      </c>
      <c r="N63" s="1975">
        <f t="shared" si="4"/>
        <v>139165</v>
      </c>
    </row>
    <row r="64" spans="1:14" ht="24" customHeight="1" x14ac:dyDescent="0.2">
      <c r="A64" s="2466" t="s">
        <v>1023</v>
      </c>
      <c r="B64" s="2467"/>
      <c r="C64" s="2467"/>
      <c r="D64" s="1967">
        <v>2368</v>
      </c>
      <c r="E64" s="1977">
        <f>'Expenditures 15-22'!K326</f>
        <v>0</v>
      </c>
      <c r="F64" s="1972"/>
      <c r="G64" s="2031"/>
      <c r="H64" s="2032"/>
      <c r="I64" s="2032"/>
      <c r="J64" s="2032"/>
      <c r="K64" s="2032"/>
      <c r="L64" s="2032"/>
      <c r="M64" s="2032"/>
      <c r="N64" s="1975">
        <f t="shared" si="4"/>
        <v>0</v>
      </c>
    </row>
    <row r="65" spans="1:14" ht="24" customHeight="1" x14ac:dyDescent="0.2">
      <c r="A65" s="2466" t="s">
        <v>965</v>
      </c>
      <c r="B65" s="2467"/>
      <c r="C65" s="2467"/>
      <c r="D65" s="1967">
        <v>2369</v>
      </c>
      <c r="E65" s="1977">
        <f>'Expenditures 15-22'!K327</f>
        <v>12731</v>
      </c>
      <c r="F65" s="1972"/>
      <c r="G65" s="2031"/>
      <c r="H65" s="2032"/>
      <c r="I65" s="2032"/>
      <c r="J65" s="2032"/>
      <c r="K65" s="2032"/>
      <c r="L65" s="2032"/>
      <c r="M65" s="2032">
        <v>12731</v>
      </c>
      <c r="N65" s="1975">
        <f t="shared" si="4"/>
        <v>12731</v>
      </c>
    </row>
    <row r="66" spans="1:14" ht="24" customHeight="1" x14ac:dyDescent="0.2">
      <c r="A66" s="2466" t="s">
        <v>469</v>
      </c>
      <c r="B66" s="2467"/>
      <c r="C66" s="2467"/>
      <c r="D66" s="1967">
        <v>2371</v>
      </c>
      <c r="E66" s="1977">
        <f>'Expenditures 15-22'!K328</f>
        <v>0</v>
      </c>
      <c r="F66" s="1972"/>
      <c r="G66" s="2031"/>
      <c r="H66" s="2032"/>
      <c r="I66" s="2032"/>
      <c r="J66" s="2032"/>
      <c r="K66" s="2032"/>
      <c r="L66" s="2032"/>
      <c r="M66" s="2032"/>
      <c r="N66" s="1975">
        <f t="shared" si="4"/>
        <v>0</v>
      </c>
    </row>
    <row r="67" spans="1:14" ht="24.75" customHeight="1" x14ac:dyDescent="0.2">
      <c r="A67" s="2468" t="s">
        <v>2042</v>
      </c>
      <c r="B67" s="2469"/>
      <c r="C67" s="2469"/>
      <c r="D67" s="1969">
        <v>2372</v>
      </c>
      <c r="E67" s="1978">
        <f>'Expenditures 15-22'!K329</f>
        <v>0</v>
      </c>
      <c r="F67" s="1972"/>
      <c r="G67" s="2033"/>
      <c r="H67" s="2034"/>
      <c r="I67" s="2034"/>
      <c r="J67" s="2034"/>
      <c r="K67" s="2034"/>
      <c r="L67" s="2034"/>
      <c r="M67" s="2034"/>
      <c r="N67" s="1975">
        <f t="shared" si="4"/>
        <v>0</v>
      </c>
    </row>
    <row r="68" spans="1:14" x14ac:dyDescent="0.2">
      <c r="A68" s="2470" t="s">
        <v>1151</v>
      </c>
      <c r="B68" s="2471"/>
      <c r="C68" s="2471"/>
      <c r="D68" s="1970"/>
      <c r="E68" s="1974">
        <f>SUM(E57:E67)</f>
        <v>207779</v>
      </c>
      <c r="F68" s="1973"/>
      <c r="G68" s="1974">
        <f t="shared" ref="G68:N68" si="5">SUM(G57:G67)</f>
        <v>25753</v>
      </c>
      <c r="H68" s="1974">
        <f t="shared" si="5"/>
        <v>0</v>
      </c>
      <c r="I68" s="1974">
        <f t="shared" si="5"/>
        <v>0</v>
      </c>
      <c r="J68" s="1974">
        <f t="shared" si="5"/>
        <v>0</v>
      </c>
      <c r="K68" s="1974">
        <f t="shared" si="5"/>
        <v>0</v>
      </c>
      <c r="L68" s="1974">
        <f t="shared" si="5"/>
        <v>0</v>
      </c>
      <c r="M68" s="1974">
        <f t="shared" si="5"/>
        <v>182026</v>
      </c>
      <c r="N68" s="1988">
        <f t="shared" si="5"/>
        <v>207779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2114</v>
      </c>
    </row>
    <row r="6" spans="1:2" x14ac:dyDescent="0.2">
      <c r="A6" s="847">
        <v>2</v>
      </c>
      <c r="B6" s="307" t="s">
        <v>2115</v>
      </c>
    </row>
    <row r="7" spans="1:2" x14ac:dyDescent="0.2">
      <c r="A7" s="847">
        <v>3</v>
      </c>
      <c r="B7" s="307" t="s">
        <v>2117</v>
      </c>
    </row>
    <row r="8" spans="1:2" x14ac:dyDescent="0.2">
      <c r="A8" s="847">
        <v>4</v>
      </c>
      <c r="B8" s="307" t="s">
        <v>2116</v>
      </c>
    </row>
    <row r="9" spans="1:2" x14ac:dyDescent="0.2">
      <c r="A9" s="847"/>
      <c r="B9" s="307" t="s">
        <v>2118</v>
      </c>
    </row>
    <row r="10" spans="1:2" x14ac:dyDescent="0.2">
      <c r="A10" s="847"/>
      <c r="B10" s="307" t="s">
        <v>2119</v>
      </c>
    </row>
    <row r="11" spans="1:2" x14ac:dyDescent="0.2">
      <c r="A11" s="847">
        <v>5</v>
      </c>
      <c r="B11" s="307" t="s">
        <v>2120</v>
      </c>
    </row>
    <row r="12" spans="1:2" x14ac:dyDescent="0.2">
      <c r="A12" s="847">
        <v>6</v>
      </c>
      <c r="B12" s="307" t="s">
        <v>2121</v>
      </c>
    </row>
    <row r="13" spans="1:2" x14ac:dyDescent="0.2">
      <c r="A13" s="847">
        <v>7</v>
      </c>
      <c r="B13" s="307" t="s">
        <v>2122</v>
      </c>
    </row>
    <row r="14" spans="1:2" x14ac:dyDescent="0.2">
      <c r="A14" s="847">
        <v>8</v>
      </c>
      <c r="B14" s="307" t="s">
        <v>2123</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Leland CUSD 1</v>
      </c>
    </row>
    <row r="65" spans="2:2" x14ac:dyDescent="0.2">
      <c r="B65" s="848">
        <f>COVER!A13</f>
        <v>35050001026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0" t="s">
        <v>1056</v>
      </c>
      <c r="B35" s="2200"/>
      <c r="C35" s="2200"/>
      <c r="D35" s="2200"/>
      <c r="E35" s="220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7" t="s">
        <v>686</v>
      </c>
      <c r="B40" s="2197"/>
      <c r="C40" s="2197"/>
      <c r="D40" s="2197"/>
      <c r="E40" s="2197"/>
    </row>
    <row r="41" spans="1:5" x14ac:dyDescent="0.2">
      <c r="A41" s="2198" t="s">
        <v>1591</v>
      </c>
      <c r="B41" s="2198"/>
      <c r="C41" s="2198"/>
      <c r="D41" s="2198"/>
      <c r="E41" s="2198"/>
    </row>
    <row r="42" spans="1:5" ht="12.75" customHeight="1" x14ac:dyDescent="0.2">
      <c r="A42" s="2199" t="s">
        <v>1015</v>
      </c>
      <c r="B42" s="2199"/>
      <c r="C42" s="2199"/>
      <c r="D42" s="2199"/>
      <c r="E42" s="219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514" t="s">
        <v>1665</v>
      </c>
      <c r="B18" s="251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5" t="s">
        <v>1669</v>
      </c>
      <c r="B1" s="2516"/>
      <c r="C1" s="2516"/>
      <c r="D1" s="2516"/>
      <c r="E1" s="2516"/>
      <c r="F1" s="2517"/>
    </row>
    <row r="2" spans="1:8" ht="45" customHeight="1" x14ac:dyDescent="0.2">
      <c r="A2" s="252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6"/>
      <c r="C2" s="2526"/>
      <c r="D2" s="2526"/>
      <c r="E2" s="2526"/>
      <c r="F2" s="2527"/>
      <c r="G2" s="852"/>
      <c r="H2" s="852"/>
    </row>
    <row r="3" spans="1:8" ht="57" customHeight="1" x14ac:dyDescent="0.2">
      <c r="A3" s="2528" t="s">
        <v>1972</v>
      </c>
      <c r="B3" s="2529"/>
      <c r="C3" s="2529"/>
      <c r="D3" s="2529"/>
      <c r="E3" s="2529"/>
      <c r="F3" s="2530"/>
      <c r="G3" s="852"/>
      <c r="H3" s="852"/>
    </row>
    <row r="4" spans="1:8" ht="14.25" customHeight="1" x14ac:dyDescent="0.2">
      <c r="A4" s="253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5"/>
      <c r="C4" s="2535"/>
      <c r="D4" s="2535"/>
      <c r="E4" s="2535"/>
      <c r="F4" s="2536"/>
      <c r="G4" s="852"/>
      <c r="H4" s="852"/>
    </row>
    <row r="5" spans="1:8" ht="14.25" customHeight="1" x14ac:dyDescent="0.2">
      <c r="A5" s="253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8"/>
      <c r="C5" s="2538"/>
      <c r="D5" s="2538"/>
      <c r="E5" s="2538"/>
      <c r="F5" s="2539"/>
      <c r="G5" s="852"/>
      <c r="H5" s="852"/>
    </row>
    <row r="6" spans="1:8" s="853" customFormat="1" ht="41.25" customHeight="1" x14ac:dyDescent="0.2">
      <c r="A6" s="2531" t="s">
        <v>1670</v>
      </c>
      <c r="B6" s="2532"/>
      <c r="C6" s="2532"/>
      <c r="D6" s="2532"/>
      <c r="E6" s="2532"/>
      <c r="F6" s="2533"/>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3019742</v>
      </c>
      <c r="C8" s="1812">
        <f>'Acct Summary 7-8'!D8</f>
        <v>292186</v>
      </c>
      <c r="D8" s="1812">
        <f>'Acct Summary 7-8'!F8</f>
        <v>254093</v>
      </c>
      <c r="E8" s="1812">
        <f>'Acct Summary 7-8'!I8</f>
        <v>33414</v>
      </c>
      <c r="F8" s="1812">
        <f>SUM(B8:E8)</f>
        <v>3599435</v>
      </c>
    </row>
    <row r="9" spans="1:8" s="857" customFormat="1" ht="14.25" customHeight="1" thickBot="1" x14ac:dyDescent="0.25">
      <c r="A9" s="856" t="s">
        <v>1353</v>
      </c>
      <c r="B9" s="1813">
        <f>'Acct Summary 7-8'!C17</f>
        <v>2733902</v>
      </c>
      <c r="C9" s="1813">
        <f>'Acct Summary 7-8'!D17</f>
        <v>282258</v>
      </c>
      <c r="D9" s="1813">
        <f>'Acct Summary 7-8'!F17</f>
        <v>262031</v>
      </c>
      <c r="E9" s="1812"/>
      <c r="F9" s="1812">
        <f>SUM(B9:E9)</f>
        <v>3278191</v>
      </c>
    </row>
    <row r="10" spans="1:8" s="857" customFormat="1" ht="14.25" thickTop="1" thickBot="1" x14ac:dyDescent="0.25">
      <c r="A10" s="858" t="s">
        <v>1354</v>
      </c>
      <c r="B10" s="1814">
        <f>(B8-B9)</f>
        <v>285840</v>
      </c>
      <c r="C10" s="1814">
        <f>(C8-C9)</f>
        <v>9928</v>
      </c>
      <c r="D10" s="1814">
        <f>(D8-D9)</f>
        <v>-7938</v>
      </c>
      <c r="E10" s="1813">
        <f>(E8-E9)</f>
        <v>33414</v>
      </c>
      <c r="F10" s="1815">
        <f>SUM(F8-F9)</f>
        <v>321244</v>
      </c>
    </row>
    <row r="11" spans="1:8" s="857" customFormat="1" ht="14.25" thickTop="1" thickBot="1" x14ac:dyDescent="0.25">
      <c r="A11" s="859" t="s">
        <v>1903</v>
      </c>
      <c r="B11" s="1816">
        <f>'Acct Summary 7-8'!C81</f>
        <v>1287467</v>
      </c>
      <c r="C11" s="1816">
        <f>'Acct Summary 7-8'!D81</f>
        <v>607590</v>
      </c>
      <c r="D11" s="1816">
        <f>'Acct Summary 7-8'!F81</f>
        <v>590846</v>
      </c>
      <c r="E11" s="1816">
        <f>'Acct Summary 7-8'!I81</f>
        <v>770003</v>
      </c>
      <c r="F11" s="1817">
        <f>SUM(B11:E11)</f>
        <v>3255906</v>
      </c>
    </row>
    <row r="12" spans="1:8" ht="16.5" customHeight="1" thickTop="1" x14ac:dyDescent="0.2">
      <c r="A12" s="860"/>
      <c r="B12" s="861"/>
      <c r="C12" s="2519" t="str">
        <f>IF(AND(F10&lt;0,F11&gt;=0,ABS(F10*3)&gt;ABS(F11)),A16,IF(AND(F10&lt;0,F11&gt;0,ABS(F10*3)&lt;=ABS(F11)),A17,IF(AND(F10&lt;0,F11&lt;0),A16,IF(F11=0,A19,A18))))</f>
        <v>Balanced - no deficit reduction plan is required.</v>
      </c>
      <c r="D12" s="2520"/>
      <c r="E12" s="2520"/>
      <c r="F12" s="2521"/>
    </row>
    <row r="13" spans="1:8" ht="19.5" customHeight="1" x14ac:dyDescent="0.2">
      <c r="A13" s="862"/>
      <c r="B13" s="863"/>
      <c r="C13" s="2519"/>
      <c r="D13" s="2520"/>
      <c r="E13" s="2520"/>
      <c r="F13" s="2521"/>
      <c r="H13" s="852"/>
    </row>
    <row r="14" spans="1:8" ht="19.5" customHeight="1" x14ac:dyDescent="0.2">
      <c r="A14" s="862"/>
      <c r="B14" s="863"/>
      <c r="C14" s="2519"/>
      <c r="D14" s="2520"/>
      <c r="E14" s="2520"/>
      <c r="F14" s="2521"/>
      <c r="H14" s="852"/>
    </row>
    <row r="15" spans="1:8" ht="17.25" customHeight="1" x14ac:dyDescent="0.2">
      <c r="A15" s="862"/>
      <c r="B15" s="863"/>
      <c r="C15" s="2522"/>
      <c r="D15" s="2523"/>
      <c r="E15" s="2523"/>
      <c r="F15" s="2524"/>
      <c r="H15" s="852"/>
    </row>
    <row r="16" spans="1:8" s="288" customFormat="1" ht="51.75" hidden="1" customHeight="1" x14ac:dyDescent="0.2">
      <c r="A16" s="2518" t="s">
        <v>1666</v>
      </c>
      <c r="B16" s="2518"/>
      <c r="C16" s="2518"/>
      <c r="D16" s="2518"/>
      <c r="E16" s="2518"/>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7"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40" t="s">
        <v>660</v>
      </c>
      <c r="B3" s="2541"/>
      <c r="C3" s="2541"/>
      <c r="D3" s="2542"/>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51" t="s">
        <v>1487</v>
      </c>
      <c r="D7" s="2552"/>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43" t="s">
        <v>1001</v>
      </c>
      <c r="B15" s="2544"/>
      <c r="C15" s="2544"/>
      <c r="D15" s="2545"/>
    </row>
    <row r="16" spans="1:4" s="542" customFormat="1" ht="24" customHeight="1" x14ac:dyDescent="0.2">
      <c r="A16" s="2546" t="s">
        <v>658</v>
      </c>
      <c r="B16" s="2547"/>
      <c r="C16" s="2547"/>
      <c r="D16" s="2548"/>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55" t="s">
        <v>311</v>
      </c>
      <c r="D21" s="2556"/>
    </row>
    <row r="22" spans="1:10" ht="12.75" x14ac:dyDescent="0.2">
      <c r="A22" s="917"/>
      <c r="B22" s="918">
        <v>2</v>
      </c>
      <c r="C22" s="2553" t="s">
        <v>1507</v>
      </c>
      <c r="D22" s="2554"/>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57" t="s">
        <v>533</v>
      </c>
      <c r="D43" s="2558"/>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49" t="s">
        <v>779</v>
      </c>
      <c r="D56" s="2550"/>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49" t="s">
        <v>1674</v>
      </c>
      <c r="D70" s="2550"/>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ht="22.5" x14ac:dyDescent="0.2">
      <c r="A82" s="876"/>
      <c r="B82" s="898">
        <v>15</v>
      </c>
      <c r="C82" s="908" t="s">
        <v>1884</v>
      </c>
      <c r="D82" s="190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9" t="s">
        <v>1978</v>
      </c>
    </row>
    <row r="2" spans="1:7" ht="15.75" x14ac:dyDescent="0.25">
      <c r="A2" t="s">
        <v>260</v>
      </c>
      <c r="B2" s="135">
        <f>COVER!A13</f>
        <v>35050001026</v>
      </c>
      <c r="E2" s="1541">
        <v>2020</v>
      </c>
      <c r="F2" s="1541">
        <v>1</v>
      </c>
      <c r="G2" s="1898">
        <v>101000300</v>
      </c>
    </row>
    <row r="3" spans="1:7" ht="15" x14ac:dyDescent="0.25">
      <c r="A3" t="s">
        <v>950</v>
      </c>
      <c r="B3" s="135" t="str">
        <f>COVER!A15</f>
        <v>LaSalle/DeKalb</v>
      </c>
      <c r="E3" s="1829" t="s">
        <v>1971</v>
      </c>
      <c r="F3" s="1829" t="s">
        <v>1970</v>
      </c>
      <c r="G3" s="1898">
        <v>101000400</v>
      </c>
    </row>
    <row r="4" spans="1:7" ht="15" x14ac:dyDescent="0.25">
      <c r="A4" t="s">
        <v>1000</v>
      </c>
      <c r="B4" s="135" t="str">
        <f>COVER!A17</f>
        <v>Leland CUSD 1</v>
      </c>
      <c r="E4" s="1827">
        <v>44119</v>
      </c>
      <c r="F4" s="1828">
        <v>44151</v>
      </c>
      <c r="G4" s="1898">
        <v>101000600</v>
      </c>
    </row>
    <row r="5" spans="1:7" ht="15" x14ac:dyDescent="0.25">
      <c r="A5" t="s">
        <v>699</v>
      </c>
      <c r="B5" s="135" t="str">
        <f>COVER!A38</f>
        <v>Jodi Moore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t="str">
        <f>COVER!T23</f>
        <v>066-005027</v>
      </c>
      <c r="G15" s="1898">
        <v>402100400</v>
      </c>
    </row>
    <row r="16" spans="1:7" ht="15" x14ac:dyDescent="0.25">
      <c r="A16" t="s">
        <v>419</v>
      </c>
      <c r="B16" s="135" t="str">
        <f>COVER!T13</f>
        <v>Gorenz and Associates, Ltd.</v>
      </c>
      <c r="G16" s="1898">
        <v>402100600</v>
      </c>
    </row>
    <row r="17" spans="1:7" ht="15" x14ac:dyDescent="0.25">
      <c r="A17" t="s">
        <v>878</v>
      </c>
      <c r="B17" s="135" t="str">
        <f>COVER!T15</f>
        <v>Thomas R. Peffer, CPA</v>
      </c>
      <c r="G17" s="1898">
        <v>402100800</v>
      </c>
    </row>
    <row r="18" spans="1:7" ht="15" x14ac:dyDescent="0.25">
      <c r="A18" t="s">
        <v>1140</v>
      </c>
      <c r="B18" s="135" t="str">
        <f>COVER!T17</f>
        <v>4200 N Knoxville Ave.</v>
      </c>
      <c r="G18" s="1898">
        <v>102200300</v>
      </c>
    </row>
    <row r="19" spans="1:7" ht="15" x14ac:dyDescent="0.25">
      <c r="A19" t="s">
        <v>880</v>
      </c>
      <c r="B19" s="135" t="str">
        <f>COVER!T25</f>
        <v>tpeffer@gorenzcpa.com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61614</v>
      </c>
      <c r="G22" s="1898">
        <v>102300300</v>
      </c>
    </row>
    <row r="23" spans="1:7" ht="15" x14ac:dyDescent="0.25">
      <c r="A23" t="s">
        <v>1142</v>
      </c>
      <c r="B23" s="135" t="str">
        <f>COVER!T21</f>
        <v>309-685-7621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576025</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1287467</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1266661</v>
      </c>
      <c r="D92" s="2" t="str">
        <f t="shared" si="0"/>
        <v>Error?</v>
      </c>
      <c r="G92" s="1898">
        <v>102640600</v>
      </c>
    </row>
    <row r="93" spans="1:7" ht="15" x14ac:dyDescent="0.25">
      <c r="A93" s="5">
        <v>32</v>
      </c>
      <c r="B93" s="1831">
        <f>'Assets-Liab 5-6'!C41</f>
        <v>1287467</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389723</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607590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607590</v>
      </c>
      <c r="D123" s="2" t="str">
        <f t="shared" si="0"/>
        <v>Error?</v>
      </c>
      <c r="G123" s="1898">
        <v>203000400</v>
      </c>
    </row>
    <row r="124" spans="1:7" ht="15" x14ac:dyDescent="0.25">
      <c r="A124" s="5">
        <v>63</v>
      </c>
      <c r="B124" s="1831">
        <f>'Assets-Liab 5-6'!D41</f>
        <v>607590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86902</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86902</v>
      </c>
      <c r="D140" s="2" t="str">
        <f t="shared" si="1"/>
        <v>Error?</v>
      </c>
    </row>
    <row r="141" spans="1:7" x14ac:dyDescent="0.2">
      <c r="A141" s="5">
        <v>80</v>
      </c>
      <c r="B141" s="1831">
        <f>'Assets-Liab 5-6'!E41</f>
        <v>86902</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333059</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590846</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590846</v>
      </c>
      <c r="D170" s="2" t="str">
        <f t="shared" si="1"/>
        <v>Error?</v>
      </c>
    </row>
    <row r="171" spans="1:4" x14ac:dyDescent="0.2">
      <c r="A171" s="5">
        <v>110</v>
      </c>
      <c r="B171" s="1831">
        <f>'Assets-Liab 5-6'!F41</f>
        <v>590846</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74181</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219551</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131054</v>
      </c>
      <c r="D189" s="2" t="str">
        <f t="shared" si="1"/>
        <v>Error?</v>
      </c>
    </row>
    <row r="190" spans="1:4" x14ac:dyDescent="0.2">
      <c r="A190" s="5">
        <v>129</v>
      </c>
      <c r="B190" s="1831">
        <f>'Assets-Liab 5-6'!G41</f>
        <v>219551</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110099</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60099</v>
      </c>
      <c r="D212" s="2" t="str">
        <f t="shared" si="2"/>
        <v>Error?</v>
      </c>
    </row>
    <row r="213" spans="1:4" x14ac:dyDescent="0.2">
      <c r="A213" s="12">
        <v>152</v>
      </c>
      <c r="B213" s="1831">
        <f>'Assets-Liab 5-6'!H41</f>
        <v>110099</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136694</v>
      </c>
      <c r="D273" s="2" t="str">
        <f t="shared" si="3"/>
        <v>Error?</v>
      </c>
    </row>
    <row r="274" spans="1:4" x14ac:dyDescent="0.2">
      <c r="A274" s="5">
        <v>213</v>
      </c>
      <c r="B274" s="1831">
        <f>'Assets-Liab 5-6'!M17</f>
        <v>4710282</v>
      </c>
      <c r="D274" s="2" t="str">
        <f t="shared" si="3"/>
        <v>Error?</v>
      </c>
    </row>
    <row r="275" spans="1:4" x14ac:dyDescent="0.2">
      <c r="A275" s="5">
        <v>214</v>
      </c>
      <c r="B275" s="1831">
        <f>'Assets-Liab 5-6'!M18</f>
        <v>3058245</v>
      </c>
      <c r="D275" s="2" t="str">
        <f t="shared" si="3"/>
        <v>Error?</v>
      </c>
    </row>
    <row r="276" spans="1:4" x14ac:dyDescent="0.2">
      <c r="A276" s="5">
        <v>215</v>
      </c>
      <c r="B276" s="1831">
        <f>'Assets-Liab 5-6'!M19</f>
        <v>1022175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8927396</v>
      </c>
      <c r="C279" s="2" t="s">
        <v>569</v>
      </c>
      <c r="D279" s="2" t="str">
        <f t="shared" si="3"/>
        <v>Error?</v>
      </c>
    </row>
    <row r="280" spans="1:4" x14ac:dyDescent="0.2">
      <c r="A280" s="5">
        <v>219</v>
      </c>
      <c r="B280" s="1831">
        <f>'Assets-Liab 5-6'!M40</f>
        <v>8927396</v>
      </c>
      <c r="D280" s="2" t="str">
        <f t="shared" si="3"/>
        <v>Error?</v>
      </c>
    </row>
    <row r="281" spans="1:4" x14ac:dyDescent="0.2">
      <c r="A281" s="5">
        <v>220</v>
      </c>
      <c r="B281" s="1831">
        <f>'Assets-Liab 5-6'!M41</f>
        <v>8927396</v>
      </c>
      <c r="C281" s="2" t="s">
        <v>569</v>
      </c>
      <c r="D281" s="2" t="str">
        <f t="shared" si="3"/>
        <v>Error?</v>
      </c>
    </row>
    <row r="282" spans="1:4" x14ac:dyDescent="0.2">
      <c r="A282" s="5">
        <v>221</v>
      </c>
      <c r="B282" s="1831">
        <f>'Assets-Liab 5-6'!N21</f>
        <v>86902</v>
      </c>
      <c r="D282" s="2" t="str">
        <f t="shared" si="3"/>
        <v>Error?</v>
      </c>
    </row>
    <row r="283" spans="1:4" x14ac:dyDescent="0.2">
      <c r="A283" s="5">
        <v>222</v>
      </c>
      <c r="B283" s="1831">
        <f>'Assets-Liab 5-6'!N22</f>
        <v>1488098</v>
      </c>
      <c r="D283" s="2" t="str">
        <f t="shared" si="3"/>
        <v>Error?</v>
      </c>
    </row>
    <row r="284" spans="1:4" x14ac:dyDescent="0.2">
      <c r="A284" s="5">
        <v>223</v>
      </c>
      <c r="B284" s="1831">
        <f>'Assets-Liab 5-6'!N23</f>
        <v>1575000</v>
      </c>
      <c r="C284" s="2" t="s">
        <v>569</v>
      </c>
      <c r="D284" s="2" t="str">
        <f t="shared" si="3"/>
        <v>Error?</v>
      </c>
    </row>
    <row r="285" spans="1:4" x14ac:dyDescent="0.2">
      <c r="A285" s="5">
        <v>224</v>
      </c>
      <c r="B285" s="1831">
        <f>'Assets-Liab 5-6'!N36</f>
        <v>1575000</v>
      </c>
      <c r="D285" s="2" t="str">
        <f t="shared" si="3"/>
        <v>Error?</v>
      </c>
    </row>
    <row r="286" spans="1:4" x14ac:dyDescent="0.2">
      <c r="A286" s="10">
        <v>225</v>
      </c>
      <c r="B286" s="1831"/>
      <c r="D286" s="2" t="str">
        <f t="shared" si="3"/>
        <v>OK</v>
      </c>
    </row>
    <row r="287" spans="1:4" x14ac:dyDescent="0.2">
      <c r="A287" s="5">
        <v>226</v>
      </c>
      <c r="B287" s="1831">
        <f>'Assets-Liab 5-6'!N37</f>
        <v>1575000</v>
      </c>
      <c r="C287" s="2" t="s">
        <v>569</v>
      </c>
      <c r="D287" s="2" t="str">
        <f t="shared" si="3"/>
        <v>Error?</v>
      </c>
    </row>
    <row r="288" spans="1:4" x14ac:dyDescent="0.2">
      <c r="A288" s="5">
        <v>227</v>
      </c>
      <c r="B288" s="1831">
        <f>'Assets-Liab 5-6'!N41</f>
        <v>1575000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916443</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40821</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1262354</v>
      </c>
      <c r="C720" s="2" t="s">
        <v>569</v>
      </c>
      <c r="D720" s="2" t="str">
        <f t="shared" si="10"/>
        <v>Error?</v>
      </c>
    </row>
    <row r="721" spans="1:4" x14ac:dyDescent="0.2">
      <c r="A721" s="5">
        <v>660</v>
      </c>
      <c r="B721" s="1831">
        <f>'Expenditures 15-22'!C36</f>
        <v>41685</v>
      </c>
      <c r="D721" s="2" t="str">
        <f t="shared" si="10"/>
        <v>Error?</v>
      </c>
    </row>
    <row r="722" spans="1:4" x14ac:dyDescent="0.2">
      <c r="A722" s="5">
        <v>661</v>
      </c>
      <c r="B722" s="1831">
        <f>'Expenditures 15-22'!C37</f>
        <v>43068</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84753</v>
      </c>
      <c r="C727" s="2" t="s">
        <v>569</v>
      </c>
      <c r="D727" s="2" t="str">
        <f t="shared" si="10"/>
        <v>Error?</v>
      </c>
    </row>
    <row r="728" spans="1:4" x14ac:dyDescent="0.2">
      <c r="A728" s="5">
        <v>667</v>
      </c>
      <c r="B728" s="1831">
        <f>'Expenditures 15-22'!C44</f>
        <v>73</v>
      </c>
      <c r="D728" s="2" t="str">
        <f t="shared" si="10"/>
        <v>Error?</v>
      </c>
    </row>
    <row r="729" spans="1:4" x14ac:dyDescent="0.2">
      <c r="A729" s="5">
        <v>668</v>
      </c>
      <c r="B729" s="1831">
        <f>'Expenditures 15-22'!C45</f>
        <v>71814</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71887</v>
      </c>
      <c r="C731" s="2" t="s">
        <v>569</v>
      </c>
      <c r="D731" s="2" t="str">
        <f t="shared" si="10"/>
        <v>Error?</v>
      </c>
    </row>
    <row r="732" spans="1:4" x14ac:dyDescent="0.2">
      <c r="A732" s="5">
        <v>671</v>
      </c>
      <c r="B732" s="1831">
        <f>'Expenditures 15-22'!C49</f>
        <v>1548</v>
      </c>
      <c r="D732" s="2" t="str">
        <f t="shared" si="10"/>
        <v>Error?</v>
      </c>
    </row>
    <row r="733" spans="1:4" x14ac:dyDescent="0.2">
      <c r="A733" s="5">
        <v>672</v>
      </c>
      <c r="B733" s="1831">
        <f>'Expenditures 15-22'!C50</f>
        <v>57947</v>
      </c>
      <c r="D733" s="2" t="str">
        <f t="shared" si="10"/>
        <v>Error?</v>
      </c>
    </row>
    <row r="734" spans="1:4" x14ac:dyDescent="0.2">
      <c r="A734" s="5">
        <v>673</v>
      </c>
      <c r="B734" s="1831">
        <f>'Expenditures 15-22'!C53</f>
        <v>59495</v>
      </c>
      <c r="C734" s="2" t="s">
        <v>569</v>
      </c>
      <c r="D734" s="2" t="str">
        <f t="shared" si="10"/>
        <v>Error?</v>
      </c>
    </row>
    <row r="735" spans="1:4" x14ac:dyDescent="0.2">
      <c r="A735" s="5">
        <v>674</v>
      </c>
      <c r="B735" s="1831">
        <f>'Expenditures 15-22'!C55</f>
        <v>119565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119565</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48204</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42710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90914</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426614</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1688968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216863</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2189</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302996</v>
      </c>
      <c r="C778" s="2" t="s">
        <v>569</v>
      </c>
      <c r="D778" s="2" t="str">
        <f t="shared" si="11"/>
        <v>Error?</v>
      </c>
    </row>
    <row r="779" spans="1:4" x14ac:dyDescent="0.2">
      <c r="A779" s="5">
        <v>718</v>
      </c>
      <c r="B779" s="1831">
        <f>'Expenditures 15-22'!D36</f>
        <v>11857</v>
      </c>
      <c r="D779" s="2" t="str">
        <f t="shared" si="11"/>
        <v>Error?</v>
      </c>
    </row>
    <row r="780" spans="1:4" x14ac:dyDescent="0.2">
      <c r="A780" s="5">
        <v>719</v>
      </c>
      <c r="B780" s="1831">
        <f>'Expenditures 15-22'!D37</f>
        <v>5337</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17194</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18888</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18888</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18848</v>
      </c>
      <c r="D791" s="2" t="str">
        <f t="shared" si="11"/>
        <v>Error?</v>
      </c>
    </row>
    <row r="792" spans="1:4" x14ac:dyDescent="0.2">
      <c r="A792" s="5">
        <v>731</v>
      </c>
      <c r="B792" s="1831">
        <f>'Expenditures 15-22'!D53</f>
        <v>18848</v>
      </c>
      <c r="C792" s="2" t="s">
        <v>569</v>
      </c>
      <c r="D792" s="2" t="str">
        <f t="shared" si="11"/>
        <v>Error?</v>
      </c>
    </row>
    <row r="793" spans="1:4" x14ac:dyDescent="0.2">
      <c r="A793" s="5">
        <v>732</v>
      </c>
      <c r="B793" s="1831">
        <f>'Expenditures 15-22'!D55</f>
        <v>32907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32907</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6591</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14253</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20844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108681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411677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2222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11947</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33593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34129</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34129</v>
      </c>
      <c r="C847" s="2" t="s">
        <v>569</v>
      </c>
      <c r="D847" s="2" t="str">
        <f t="shared" si="12"/>
        <v>Error?</v>
      </c>
    </row>
    <row r="848" spans="1:4" x14ac:dyDescent="0.2">
      <c r="A848" s="5">
        <v>787</v>
      </c>
      <c r="B848" s="1831">
        <f>'Expenditures 15-22'!E49</f>
        <v>28357</v>
      </c>
      <c r="D848" s="2" t="str">
        <f t="shared" si="12"/>
        <v>Error?</v>
      </c>
    </row>
    <row r="849" spans="1:4" x14ac:dyDescent="0.2">
      <c r="A849" s="5">
        <v>788</v>
      </c>
      <c r="B849" s="1831">
        <f>'Expenditures 15-22'!E50</f>
        <v>5520</v>
      </c>
      <c r="D849" s="2" t="str">
        <f t="shared" si="12"/>
        <v>Error?</v>
      </c>
    </row>
    <row r="850" spans="1:4" x14ac:dyDescent="0.2">
      <c r="A850" s="5">
        <v>789</v>
      </c>
      <c r="B850" s="1831">
        <f>'Expenditures 15-22'!E53</f>
        <v>33877</v>
      </c>
      <c r="C850" s="2" t="s">
        <v>569</v>
      </c>
      <c r="D850" s="2" t="str">
        <f t="shared" si="12"/>
        <v>Error?</v>
      </c>
    </row>
    <row r="851" spans="1:4" x14ac:dyDescent="0.2">
      <c r="A851" s="5">
        <v>790</v>
      </c>
      <c r="B851" s="1831">
        <f>'Expenditures 15-22'!E55</f>
        <v>2231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2231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9070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53</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9123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79360</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255737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15986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5199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44133</v>
      </c>
      <c r="C894" s="2" t="s">
        <v>569</v>
      </c>
      <c r="D894" s="2" t="str">
        <f t="shared" si="12"/>
        <v>Error?</v>
      </c>
    </row>
    <row r="895" spans="1:4" x14ac:dyDescent="0.2">
      <c r="A895" s="5">
        <v>834</v>
      </c>
      <c r="B895" s="1831">
        <f>'Expenditures 15-22'!F36</f>
        <v>2956</v>
      </c>
      <c r="D895" s="2" t="str">
        <f t="shared" ref="D895:D958" si="13">IF(ISBLANK(B895),"OK",IF(A895-B895=0,"OK","Error?"))</f>
        <v>Error?</v>
      </c>
    </row>
    <row r="896" spans="1:4" x14ac:dyDescent="0.2">
      <c r="A896" s="5">
        <v>835</v>
      </c>
      <c r="B896" s="1831">
        <f>'Expenditures 15-22'!F37</f>
        <v>4000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6956</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28933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28933</v>
      </c>
      <c r="C905" s="2" t="s">
        <v>569</v>
      </c>
      <c r="D905" s="2" t="str">
        <f t="shared" si="13"/>
        <v>Error?</v>
      </c>
    </row>
    <row r="906" spans="1:4" x14ac:dyDescent="0.2">
      <c r="A906" s="5">
        <v>845</v>
      </c>
      <c r="B906" s="1831">
        <f>'Expenditures 15-22'!F49</f>
        <v>2850</v>
      </c>
      <c r="D906" s="2" t="str">
        <f t="shared" si="13"/>
        <v>Error?</v>
      </c>
    </row>
    <row r="907" spans="1:4" x14ac:dyDescent="0.2">
      <c r="A907" s="5">
        <v>846</v>
      </c>
      <c r="B907" s="1831">
        <f>'Expenditures 15-22'!F50</f>
        <v>97</v>
      </c>
      <c r="D907" s="2" t="str">
        <f t="shared" si="13"/>
        <v>Error?</v>
      </c>
    </row>
    <row r="908" spans="1:4" x14ac:dyDescent="0.2">
      <c r="A908" s="5">
        <v>847</v>
      </c>
      <c r="B908" s="1831">
        <f>'Expenditures 15-22'!F53</f>
        <v>2947</v>
      </c>
      <c r="C908" s="2" t="s">
        <v>569</v>
      </c>
      <c r="D908" s="2" t="str">
        <f t="shared" si="13"/>
        <v>Error?</v>
      </c>
    </row>
    <row r="909" spans="1:4" x14ac:dyDescent="0.2">
      <c r="A909" s="5">
        <v>848</v>
      </c>
      <c r="B909" s="1831">
        <f>'Expenditures 15-22'!F55</f>
        <v>18052</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18052</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1311</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55768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57079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113967</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158100</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10000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2688</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2688</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2688</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12688</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3215</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84125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2732</v>
      </c>
      <c r="D1022" s="2" t="str">
        <f t="shared" si="14"/>
        <v>Error?</v>
      </c>
    </row>
    <row r="1023" spans="1:4" x14ac:dyDescent="0.2">
      <c r="A1023" s="5">
        <v>962</v>
      </c>
      <c r="B1023" s="1831">
        <f>'Expenditures 15-22'!H50</f>
        <v>612</v>
      </c>
      <c r="D1023" s="2" t="str">
        <f t="shared" ref="D1023:D1086" si="15">IF(ISBLANK(B1023),"OK",IF(A1023-B1023=0,"OK","Error?"))</f>
        <v>Error?</v>
      </c>
    </row>
    <row r="1024" spans="1:4" x14ac:dyDescent="0.2">
      <c r="A1024" s="5">
        <v>963</v>
      </c>
      <c r="B1024" s="1831">
        <f>'Expenditures 15-22'!H53</f>
        <v>3344</v>
      </c>
      <c r="C1024" s="2" t="s">
        <v>569</v>
      </c>
      <c r="D1024" s="2" t="str">
        <f t="shared" si="15"/>
        <v>Error?</v>
      </c>
    </row>
    <row r="1025" spans="1:4" x14ac:dyDescent="0.2">
      <c r="A1025" s="5">
        <v>964</v>
      </c>
      <c r="B1025" s="1831">
        <f>'Expenditures 15-22'!H55</f>
        <v>395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395</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183</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240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423</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4162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118445</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206732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1151514</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63371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1737201</v>
      </c>
      <c r="C1108" s="2" t="s">
        <v>569</v>
      </c>
      <c r="D1108" s="2" t="str">
        <f t="shared" si="16"/>
        <v>Error?</v>
      </c>
    </row>
    <row r="1109" spans="1:4" x14ac:dyDescent="0.2">
      <c r="A1109" s="5">
        <v>1048</v>
      </c>
      <c r="B1109" s="1831">
        <f>'Expenditures 15-22'!K36</f>
        <v>56498</v>
      </c>
      <c r="C1109" s="2" t="s">
        <v>569</v>
      </c>
      <c r="D1109" s="2" t="str">
        <f t="shared" si="16"/>
        <v>Error?</v>
      </c>
    </row>
    <row r="1110" spans="1:4" x14ac:dyDescent="0.2">
      <c r="A1110" s="5">
        <v>1049</v>
      </c>
      <c r="B1110" s="1831">
        <f>'Expenditures 15-22'!K37</f>
        <v>52405</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108903</v>
      </c>
      <c r="C1115" s="2" t="s">
        <v>569</v>
      </c>
      <c r="D1115" s="2" t="str">
        <f t="shared" si="16"/>
        <v>Error?</v>
      </c>
    </row>
    <row r="1116" spans="1:4" x14ac:dyDescent="0.2">
      <c r="A1116" s="5">
        <v>1055</v>
      </c>
      <c r="B1116" s="1831">
        <f>'Expenditures 15-22'!K44</f>
        <v>73</v>
      </c>
      <c r="C1116" s="2" t="s">
        <v>569</v>
      </c>
      <c r="D1116" s="2" t="str">
        <f t="shared" si="16"/>
        <v>Error?</v>
      </c>
    </row>
    <row r="1117" spans="1:4" x14ac:dyDescent="0.2">
      <c r="A1117" s="5">
        <v>1056</v>
      </c>
      <c r="B1117" s="1831">
        <f>'Expenditures 15-22'!K45</f>
        <v>156452</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156525</v>
      </c>
      <c r="C1119" s="2" t="s">
        <v>569</v>
      </c>
      <c r="D1119" s="2" t="str">
        <f t="shared" si="16"/>
        <v>Error?</v>
      </c>
    </row>
    <row r="1120" spans="1:4" x14ac:dyDescent="0.2">
      <c r="A1120" s="5">
        <v>1059</v>
      </c>
      <c r="B1120" s="1831">
        <f>'Expenditures 15-22'!K49</f>
        <v>35487</v>
      </c>
      <c r="C1120" s="2" t="s">
        <v>569</v>
      </c>
      <c r="D1120" s="2" t="str">
        <f t="shared" si="16"/>
        <v>Error?</v>
      </c>
    </row>
    <row r="1121" spans="1:4" x14ac:dyDescent="0.2">
      <c r="A1121" s="5">
        <v>1060</v>
      </c>
      <c r="B1121" s="1831">
        <f>'Expenditures 15-22'!K50</f>
        <v>83024</v>
      </c>
      <c r="C1121" s="2" t="s">
        <v>569</v>
      </c>
      <c r="D1121" s="2" t="str">
        <f t="shared" si="16"/>
        <v>Error?</v>
      </c>
    </row>
    <row r="1122" spans="1:4" x14ac:dyDescent="0.2">
      <c r="A1122" s="5">
        <v>1061</v>
      </c>
      <c r="B1122" s="1831">
        <f>'Expenditures 15-22'!K53</f>
        <v>118511</v>
      </c>
      <c r="C1122" s="2" t="s">
        <v>569</v>
      </c>
      <c r="D1122" s="2" t="str">
        <f t="shared" si="16"/>
        <v>Error?</v>
      </c>
    </row>
    <row r="1123" spans="1:4" x14ac:dyDescent="0.2">
      <c r="A1123" s="5">
        <v>1062</v>
      </c>
      <c r="B1123" s="1831">
        <f>'Expenditures 15-22'!K55</f>
        <v>173150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173150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65359</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113024</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178383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735472</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261229</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2733902</v>
      </c>
      <c r="C1152" s="2" t="s">
        <v>569</v>
      </c>
      <c r="D1152" s="2" t="str">
        <f t="shared" si="17"/>
        <v>Error?</v>
      </c>
    </row>
    <row r="1153" spans="1:4" x14ac:dyDescent="0.2">
      <c r="A1153" s="5">
        <v>1092</v>
      </c>
      <c r="B1153" s="1831">
        <f>'Expenditures 15-22'!K115</f>
        <v>285840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132911</v>
      </c>
      <c r="D1221" s="2" t="str">
        <f t="shared" si="18"/>
        <v>Error?</v>
      </c>
    </row>
    <row r="1222" spans="1:4" x14ac:dyDescent="0.2">
      <c r="A1222" s="10">
        <v>1161</v>
      </c>
      <c r="B1222" s="1831"/>
      <c r="D1222" s="2" t="str">
        <f t="shared" si="18"/>
        <v>OK</v>
      </c>
    </row>
    <row r="1223" spans="1:4" x14ac:dyDescent="0.2">
      <c r="A1223" s="5">
        <v>1162</v>
      </c>
      <c r="B1223" s="1831">
        <f>'Expenditures 15-22'!C127</f>
        <v>132911</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132911</v>
      </c>
      <c r="C1225" s="2" t="s">
        <v>569</v>
      </c>
      <c r="D1225" s="2" t="str">
        <f t="shared" si="18"/>
        <v>Error?</v>
      </c>
    </row>
    <row r="1226" spans="1:4" x14ac:dyDescent="0.2">
      <c r="A1226" s="5">
        <v>1165</v>
      </c>
      <c r="B1226" s="1831">
        <f>'Expenditures 15-22'!C151</f>
        <v>132911</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13897</v>
      </c>
      <c r="D1229" s="2" t="str">
        <f t="shared" si="18"/>
        <v>Error?</v>
      </c>
    </row>
    <row r="1230" spans="1:4" x14ac:dyDescent="0.2">
      <c r="A1230" s="10">
        <v>1169</v>
      </c>
      <c r="B1230" s="1831"/>
      <c r="D1230" s="2" t="str">
        <f t="shared" si="18"/>
        <v>OK</v>
      </c>
    </row>
    <row r="1231" spans="1:4" x14ac:dyDescent="0.2">
      <c r="A1231" s="5">
        <v>1170</v>
      </c>
      <c r="B1231" s="1831">
        <f>'Expenditures 15-22'!D127</f>
        <v>13897</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13897</v>
      </c>
      <c r="C1233" s="2" t="s">
        <v>569</v>
      </c>
      <c r="D1233" s="2" t="str">
        <f t="shared" si="18"/>
        <v>Error?</v>
      </c>
    </row>
    <row r="1234" spans="1:4" x14ac:dyDescent="0.2">
      <c r="A1234" s="5">
        <v>1173</v>
      </c>
      <c r="B1234" s="1831">
        <f>'Expenditures 15-22'!D151</f>
        <v>13897</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59347</v>
      </c>
      <c r="D1237" s="2" t="str">
        <f t="shared" si="18"/>
        <v>Error?</v>
      </c>
    </row>
    <row r="1238" spans="1:4" x14ac:dyDescent="0.2">
      <c r="A1238" s="10">
        <v>1177</v>
      </c>
      <c r="B1238" s="1831"/>
      <c r="D1238" s="2" t="str">
        <f t="shared" si="18"/>
        <v>OK</v>
      </c>
    </row>
    <row r="1239" spans="1:4" x14ac:dyDescent="0.2">
      <c r="A1239" s="5">
        <v>1178</v>
      </c>
      <c r="B1239" s="1831">
        <f>'Expenditures 15-22'!E127</f>
        <v>59347</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59347</v>
      </c>
      <c r="C1241" s="2" t="s">
        <v>569</v>
      </c>
      <c r="D1241" s="2" t="str">
        <f t="shared" si="18"/>
        <v>Error?</v>
      </c>
    </row>
    <row r="1242" spans="1:4" x14ac:dyDescent="0.2">
      <c r="A1242" s="5">
        <v>1181</v>
      </c>
      <c r="B1242" s="1831">
        <f>'Expenditures 15-22'!E151</f>
        <v>59347</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71372</v>
      </c>
      <c r="D1245" s="2" t="str">
        <f t="shared" si="18"/>
        <v>Error?</v>
      </c>
    </row>
    <row r="1246" spans="1:4" x14ac:dyDescent="0.2">
      <c r="A1246" s="10">
        <v>1185</v>
      </c>
      <c r="B1246" s="1831"/>
      <c r="D1246" s="2" t="str">
        <f t="shared" si="18"/>
        <v>OK</v>
      </c>
    </row>
    <row r="1247" spans="1:4" x14ac:dyDescent="0.2">
      <c r="A1247" s="5">
        <v>1186</v>
      </c>
      <c r="B1247" s="1831">
        <f>'Expenditures 15-22'!F127</f>
        <v>71372</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71372</v>
      </c>
      <c r="C1249" s="2" t="s">
        <v>569</v>
      </c>
      <c r="D1249" s="2" t="str">
        <f t="shared" si="18"/>
        <v>Error?</v>
      </c>
    </row>
    <row r="1250" spans="1:4" x14ac:dyDescent="0.2">
      <c r="A1250" s="5">
        <v>1189</v>
      </c>
      <c r="B1250" s="1831">
        <f>'Expenditures 15-22'!F151</f>
        <v>71372</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4731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4731</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4731</v>
      </c>
      <c r="C1258" s="2" t="s">
        <v>569</v>
      </c>
      <c r="D1258" s="2" t="str">
        <f t="shared" si="18"/>
        <v>Error?</v>
      </c>
    </row>
    <row r="1259" spans="1:4" x14ac:dyDescent="0.2">
      <c r="A1259" s="5">
        <v>1198</v>
      </c>
      <c r="B1259" s="1831">
        <f>'Expenditures 15-22'!G151</f>
        <v>4731</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282258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282258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282258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282258</v>
      </c>
      <c r="C1288" s="2" t="s">
        <v>569</v>
      </c>
      <c r="D1288" s="2" t="str">
        <f t="shared" si="19"/>
        <v>Error?</v>
      </c>
    </row>
    <row r="1289" spans="1:4" x14ac:dyDescent="0.2">
      <c r="A1289" s="5">
        <v>1228</v>
      </c>
      <c r="B1289" s="1831">
        <f>'Expenditures 15-22'!K152</f>
        <v>9928</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41365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185000</v>
      </c>
      <c r="D1315" s="2" t="str">
        <f t="shared" si="19"/>
        <v>Error?</v>
      </c>
    </row>
    <row r="1316" spans="1:4" x14ac:dyDescent="0.2">
      <c r="A1316" s="5">
        <v>1255</v>
      </c>
      <c r="B1316" s="1831">
        <f>'Expenditures 15-22'!H171</f>
        <v>450</v>
      </c>
      <c r="D1316" s="2" t="str">
        <f t="shared" si="19"/>
        <v>Error?</v>
      </c>
    </row>
    <row r="1317" spans="1:4" x14ac:dyDescent="0.2">
      <c r="A1317" s="5">
        <v>1256</v>
      </c>
      <c r="B1317" s="1831">
        <f>'Expenditures 15-22'!H172</f>
        <v>226815</v>
      </c>
      <c r="C1317" s="2" t="s">
        <v>569</v>
      </c>
      <c r="D1317" s="2" t="str">
        <f t="shared" si="19"/>
        <v>Error?</v>
      </c>
    </row>
    <row r="1318" spans="1:4" x14ac:dyDescent="0.2">
      <c r="A1318" s="5">
        <v>1257</v>
      </c>
      <c r="B1318" s="1831">
        <f>'Expenditures 15-22'!H174</f>
        <v>226815</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41365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185000</v>
      </c>
      <c r="C1329" s="2" t="s">
        <v>569</v>
      </c>
      <c r="D1329" s="2" t="str">
        <f t="shared" si="19"/>
        <v>Error?</v>
      </c>
    </row>
    <row r="1330" spans="1:4" x14ac:dyDescent="0.2">
      <c r="A1330" s="5">
        <v>1269</v>
      </c>
      <c r="B1330" s="1831">
        <f>'Expenditures 15-22'!K171</f>
        <v>450</v>
      </c>
      <c r="C1330" s="2" t="s">
        <v>569</v>
      </c>
      <c r="D1330" s="2" t="str">
        <f t="shared" si="19"/>
        <v>Error?</v>
      </c>
    </row>
    <row r="1331" spans="1:4" x14ac:dyDescent="0.2">
      <c r="A1331" s="5">
        <v>1270</v>
      </c>
      <c r="B1331" s="1831">
        <f>'Expenditures 15-22'!K172</f>
        <v>226815</v>
      </c>
      <c r="C1331" s="2" t="s">
        <v>569</v>
      </c>
      <c r="D1331" s="2" t="str">
        <f t="shared" si="19"/>
        <v>Error?</v>
      </c>
    </row>
    <row r="1332" spans="1:4" x14ac:dyDescent="0.2">
      <c r="A1332" s="5">
        <v>1271</v>
      </c>
      <c r="B1332" s="1831">
        <f>'Expenditures 15-22'!K174</f>
        <v>226815</v>
      </c>
      <c r="C1332" s="2" t="s">
        <v>569</v>
      </c>
      <c r="D1332" s="2" t="str">
        <f t="shared" si="19"/>
        <v>Error?</v>
      </c>
    </row>
    <row r="1333" spans="1:4" x14ac:dyDescent="0.2">
      <c r="A1333" s="5">
        <v>1272</v>
      </c>
      <c r="B1333" s="1831">
        <f>'Expenditures 15-22'!K175</f>
        <v>2817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134319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134319</v>
      </c>
      <c r="C1339" s="2" t="s">
        <v>569</v>
      </c>
      <c r="D1339" s="2" t="str">
        <f t="shared" si="19"/>
        <v>Error?</v>
      </c>
    </row>
    <row r="1340" spans="1:4" x14ac:dyDescent="0.2">
      <c r="A1340" s="5">
        <v>1279</v>
      </c>
      <c r="B1340" s="1831">
        <f>'Expenditures 15-22'!C210</f>
        <v>134319</v>
      </c>
      <c r="C1340" s="2" t="s">
        <v>569</v>
      </c>
      <c r="D1340" s="2" t="str">
        <f t="shared" si="19"/>
        <v>Error?</v>
      </c>
    </row>
    <row r="1341" spans="1:4" x14ac:dyDescent="0.2">
      <c r="A1341" s="5">
        <v>1280</v>
      </c>
      <c r="B1341" s="1831">
        <f>'Expenditures 15-22'!D182</f>
        <v>13990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13990</v>
      </c>
      <c r="C1345" s="2" t="s">
        <v>569</v>
      </c>
      <c r="D1345" s="2" t="str">
        <f t="shared" si="20"/>
        <v>Error?</v>
      </c>
    </row>
    <row r="1346" spans="1:4" x14ac:dyDescent="0.2">
      <c r="A1346" s="5">
        <v>1285</v>
      </c>
      <c r="B1346" s="1831">
        <f>'Expenditures 15-22'!D210</f>
        <v>13990</v>
      </c>
      <c r="C1346" s="2" t="s">
        <v>569</v>
      </c>
      <c r="D1346" s="2" t="str">
        <f t="shared" si="20"/>
        <v>Error?</v>
      </c>
    </row>
    <row r="1347" spans="1:4" x14ac:dyDescent="0.2">
      <c r="A1347" s="5">
        <v>1286</v>
      </c>
      <c r="B1347" s="1831">
        <f>'Expenditures 15-22'!E182</f>
        <v>70570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70570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70570</v>
      </c>
      <c r="C1353" s="2" t="s">
        <v>569</v>
      </c>
      <c r="D1353" s="2" t="str">
        <f t="shared" si="20"/>
        <v>Error?</v>
      </c>
    </row>
    <row r="1354" spans="1:4" x14ac:dyDescent="0.2">
      <c r="A1354" s="5">
        <v>1293</v>
      </c>
      <c r="B1354" s="1831">
        <f>'Expenditures 15-22'!F182</f>
        <v>21032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21032</v>
      </c>
      <c r="C1358" s="2" t="s">
        <v>569</v>
      </c>
      <c r="D1358" s="2" t="str">
        <f t="shared" si="20"/>
        <v>Error?</v>
      </c>
    </row>
    <row r="1359" spans="1:4" x14ac:dyDescent="0.2">
      <c r="A1359" s="5">
        <v>1298</v>
      </c>
      <c r="B1359" s="1831">
        <f>'Expenditures 15-22'!F210</f>
        <v>21032</v>
      </c>
      <c r="C1359" s="2" t="s">
        <v>569</v>
      </c>
      <c r="D1359" s="2" t="str">
        <f t="shared" si="20"/>
        <v>Error?</v>
      </c>
    </row>
    <row r="1360" spans="1:4" x14ac:dyDescent="0.2">
      <c r="A1360" s="5">
        <v>1299</v>
      </c>
      <c r="B1360" s="1831">
        <f>'Expenditures 15-22'!G182</f>
        <v>22120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22120</v>
      </c>
      <c r="C1364" s="2" t="s">
        <v>569</v>
      </c>
      <c r="D1364" s="2" t="str">
        <f t="shared" si="20"/>
        <v>Error?</v>
      </c>
    </row>
    <row r="1365" spans="1:4" x14ac:dyDescent="0.2">
      <c r="A1365" s="5">
        <v>1304</v>
      </c>
      <c r="B1365" s="1831">
        <f>'Expenditures 15-22'!G210</f>
        <v>22120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262031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262031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262031</v>
      </c>
      <c r="C1388" s="2" t="s">
        <v>569</v>
      </c>
      <c r="D1388" s="2" t="str">
        <f t="shared" si="20"/>
        <v>Error?</v>
      </c>
    </row>
    <row r="1389" spans="1:4" x14ac:dyDescent="0.2">
      <c r="A1389" s="5">
        <v>1328</v>
      </c>
      <c r="B1389" s="1831">
        <f>'Expenditures 15-22'!K211</f>
        <v>-7938</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3093</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39034</v>
      </c>
      <c r="C1410" s="2" t="s">
        <v>569</v>
      </c>
      <c r="D1410" s="2" t="str">
        <f t="shared" si="21"/>
        <v>Error?</v>
      </c>
    </row>
    <row r="1411" spans="1:4" x14ac:dyDescent="0.2">
      <c r="A1411" s="5">
        <v>1350</v>
      </c>
      <c r="B1411" s="1831">
        <f>'Expenditures 15-22'!D232</f>
        <v>496</v>
      </c>
      <c r="D1411" s="2" t="str">
        <f t="shared" si="21"/>
        <v>Error?</v>
      </c>
    </row>
    <row r="1412" spans="1:4" x14ac:dyDescent="0.2">
      <c r="A1412" s="5">
        <v>1351</v>
      </c>
      <c r="B1412" s="1831">
        <f>'Expenditures 15-22'!D233</f>
        <v>674</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1170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8939</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8939</v>
      </c>
      <c r="C1421" s="2" t="s">
        <v>569</v>
      </c>
      <c r="D1421" s="2" t="str">
        <f t="shared" si="21"/>
        <v>Error?</v>
      </c>
    </row>
    <row r="1422" spans="1:4" x14ac:dyDescent="0.2">
      <c r="A1422" s="5">
        <v>1361</v>
      </c>
      <c r="B1422" s="1831">
        <f>'Expenditures 15-22'!D245</f>
        <v>117</v>
      </c>
      <c r="D1422" s="2" t="str">
        <f t="shared" si="21"/>
        <v>Error?</v>
      </c>
    </row>
    <row r="1423" spans="1:4" x14ac:dyDescent="0.2">
      <c r="A1423" s="5">
        <v>1362</v>
      </c>
      <c r="B1423" s="1831">
        <f>'Expenditures 15-22'!D246</f>
        <v>2229</v>
      </c>
      <c r="D1423" s="2" t="str">
        <f t="shared" si="21"/>
        <v>Error?</v>
      </c>
    </row>
    <row r="1424" spans="1:4" x14ac:dyDescent="0.2">
      <c r="A1424" s="5">
        <v>1363</v>
      </c>
      <c r="B1424" s="1831">
        <f>'Expenditures 15-22'!D257</f>
        <v>2346</v>
      </c>
      <c r="C1424" s="2" t="s">
        <v>569</v>
      </c>
      <c r="D1424" s="2" t="str">
        <f t="shared" si="21"/>
        <v>Error?</v>
      </c>
    </row>
    <row r="1425" spans="1:4" x14ac:dyDescent="0.2">
      <c r="A1425" s="5">
        <v>1364</v>
      </c>
      <c r="B1425" s="1831">
        <f>'Expenditures 15-22'!D259</f>
        <v>20064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20064</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7501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13170</v>
      </c>
      <c r="D1431" s="2" t="str">
        <f t="shared" si="21"/>
        <v>Error?</v>
      </c>
    </row>
    <row r="1432" spans="1:4" x14ac:dyDescent="0.2">
      <c r="A1432" s="5">
        <v>1371</v>
      </c>
      <c r="B1432" s="1831">
        <f>'Expenditures 15-22'!D267</f>
        <v>13593</v>
      </c>
      <c r="D1432" s="2" t="str">
        <f t="shared" si="21"/>
        <v>Error?</v>
      </c>
    </row>
    <row r="1433" spans="1:4" x14ac:dyDescent="0.2">
      <c r="A1433" s="5">
        <v>1372</v>
      </c>
      <c r="B1433" s="1831">
        <f>'Expenditures 15-22'!D268</f>
        <v>6535</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40799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73318</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112352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3093</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39034</v>
      </c>
      <c r="C1474" s="2" t="s">
        <v>569</v>
      </c>
      <c r="D1474" s="2" t="str">
        <f t="shared" si="22"/>
        <v>Error?</v>
      </c>
    </row>
    <row r="1475" spans="1:4" x14ac:dyDescent="0.2">
      <c r="A1475" s="5">
        <v>1414</v>
      </c>
      <c r="B1475" s="1831">
        <f>'Expenditures 15-22'!K232</f>
        <v>496</v>
      </c>
      <c r="C1475" s="2" t="s">
        <v>569</v>
      </c>
      <c r="D1475" s="2" t="str">
        <f t="shared" si="22"/>
        <v>Error?</v>
      </c>
    </row>
    <row r="1476" spans="1:4" x14ac:dyDescent="0.2">
      <c r="A1476" s="5">
        <v>1415</v>
      </c>
      <c r="B1476" s="1831">
        <f>'Expenditures 15-22'!K233</f>
        <v>674</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1170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8939</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8939</v>
      </c>
      <c r="C1485" s="2" t="s">
        <v>569</v>
      </c>
      <c r="D1485" s="2" t="str">
        <f t="shared" si="22"/>
        <v>Error?</v>
      </c>
    </row>
    <row r="1486" spans="1:4" x14ac:dyDescent="0.2">
      <c r="A1486" s="5">
        <v>1425</v>
      </c>
      <c r="B1486" s="1831">
        <f>'Expenditures 15-22'!K245</f>
        <v>117</v>
      </c>
      <c r="C1486" s="2" t="s">
        <v>569</v>
      </c>
      <c r="D1486" s="2" t="str">
        <f t="shared" si="22"/>
        <v>Error?</v>
      </c>
    </row>
    <row r="1487" spans="1:4" x14ac:dyDescent="0.2">
      <c r="A1487" s="5">
        <v>1426</v>
      </c>
      <c r="B1487" s="1831">
        <f>'Expenditures 15-22'!K246</f>
        <v>2229</v>
      </c>
      <c r="C1487" s="2" t="s">
        <v>569</v>
      </c>
      <c r="D1487" s="2" t="str">
        <f t="shared" si="22"/>
        <v>Error?</v>
      </c>
    </row>
    <row r="1488" spans="1:4" x14ac:dyDescent="0.2">
      <c r="A1488" s="5">
        <v>1427</v>
      </c>
      <c r="B1488" s="1831">
        <f>'Expenditures 15-22'!K257</f>
        <v>2346</v>
      </c>
      <c r="C1488" s="2" t="s">
        <v>569</v>
      </c>
      <c r="D1488" s="2" t="str">
        <f t="shared" si="22"/>
        <v>Error?</v>
      </c>
    </row>
    <row r="1489" spans="1:4" x14ac:dyDescent="0.2">
      <c r="A1489" s="5">
        <v>1428</v>
      </c>
      <c r="B1489" s="1831">
        <f>'Expenditures 15-22'!K259</f>
        <v>20064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20064</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7501</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13170</v>
      </c>
      <c r="C1495" s="2" t="s">
        <v>569</v>
      </c>
      <c r="D1495" s="2" t="str">
        <f t="shared" si="22"/>
        <v>Error?</v>
      </c>
    </row>
    <row r="1496" spans="1:4" x14ac:dyDescent="0.2">
      <c r="A1496" s="5">
        <v>1435</v>
      </c>
      <c r="B1496" s="1831">
        <f>'Expenditures 15-22'!K267</f>
        <v>13593</v>
      </c>
      <c r="C1496" s="2" t="s">
        <v>569</v>
      </c>
      <c r="D1496" s="2" t="str">
        <f t="shared" si="22"/>
        <v>Error?</v>
      </c>
    </row>
    <row r="1497" spans="1:4" x14ac:dyDescent="0.2">
      <c r="A1497" s="5">
        <v>1436</v>
      </c>
      <c r="B1497" s="1831">
        <f>'Expenditures 15-22'!K268</f>
        <v>6535</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40799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73318</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112352</v>
      </c>
      <c r="C1517" s="2" t="s">
        <v>569</v>
      </c>
      <c r="D1517" s="2" t="str">
        <f t="shared" si="22"/>
        <v>Error?</v>
      </c>
    </row>
    <row r="1518" spans="1:4" x14ac:dyDescent="0.2">
      <c r="A1518" s="5">
        <v>1457</v>
      </c>
      <c r="B1518" s="1831">
        <f>'Expenditures 15-22'!K296</f>
        <v>10146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84510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84510</v>
      </c>
      <c r="C1547" s="2" t="s">
        <v>569</v>
      </c>
      <c r="D1547" s="2" t="str">
        <f t="shared" si="23"/>
        <v>Error?</v>
      </c>
    </row>
    <row r="1548" spans="1:4" x14ac:dyDescent="0.2">
      <c r="A1548" s="5">
        <v>1487</v>
      </c>
      <c r="B1548" s="1831">
        <f>'Expenditures 15-22'!G312</f>
        <v>84510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84510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84510</v>
      </c>
      <c r="C1559" s="2" t="s">
        <v>569</v>
      </c>
      <c r="D1559" s="2" t="str">
        <f t="shared" si="23"/>
        <v>Error?</v>
      </c>
    </row>
    <row r="1560" spans="1:4" x14ac:dyDescent="0.2">
      <c r="A1560" s="5">
        <v>1499</v>
      </c>
      <c r="B1560" s="1831">
        <f>'Expenditures 15-22'!K312</f>
        <v>84510</v>
      </c>
      <c r="C1560" s="2" t="s">
        <v>569</v>
      </c>
      <c r="D1560" s="2" t="str">
        <f t="shared" si="23"/>
        <v>Error?</v>
      </c>
    </row>
    <row r="1561" spans="1:4" x14ac:dyDescent="0.2">
      <c r="A1561" s="5">
        <v>1500</v>
      </c>
      <c r="B1561" s="1831">
        <f>'Expenditures 15-22'!K313</f>
        <v>25490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1001627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1287467</v>
      </c>
      <c r="C1630" s="2" t="s">
        <v>569</v>
      </c>
      <c r="D1630" s="2" t="str">
        <f t="shared" si="24"/>
        <v>Error?</v>
      </c>
    </row>
    <row r="1631" spans="1:4" x14ac:dyDescent="0.2">
      <c r="A1631" s="5">
        <v>1570</v>
      </c>
      <c r="B1631" s="1831">
        <f>'Acct Summary 7-8'!D79</f>
        <v>597662</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607590</v>
      </c>
      <c r="C1644" s="2" t="s">
        <v>569</v>
      </c>
      <c r="D1644" s="2" t="str">
        <f t="shared" si="24"/>
        <v>Error?</v>
      </c>
    </row>
    <row r="1645" spans="1:4" x14ac:dyDescent="0.2">
      <c r="A1645" s="5">
        <v>1584</v>
      </c>
      <c r="B1645" s="1831">
        <f>'Acct Summary 7-8'!E79</f>
        <v>84085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86902</v>
      </c>
      <c r="C1658" s="2" t="s">
        <v>569</v>
      </c>
      <c r="D1658" s="2" t="str">
        <f t="shared" si="24"/>
        <v>Error?</v>
      </c>
    </row>
    <row r="1659" spans="1:4" x14ac:dyDescent="0.2">
      <c r="A1659" s="5">
        <v>1598</v>
      </c>
      <c r="B1659" s="1831">
        <f>'Acct Summary 7-8'!F79</f>
        <v>598784</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590846</v>
      </c>
      <c r="C1672" s="2" t="s">
        <v>569</v>
      </c>
      <c r="D1672" s="2" t="str">
        <f t="shared" si="25"/>
        <v>Error?</v>
      </c>
    </row>
    <row r="1673" spans="1:4" x14ac:dyDescent="0.2">
      <c r="A1673" s="5">
        <v>1612</v>
      </c>
      <c r="B1673" s="1831">
        <f>'Acct Summary 7-8'!G79</f>
        <v>209405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219551</v>
      </c>
      <c r="C1686" s="2" t="s">
        <v>569</v>
      </c>
      <c r="D1686" s="2" t="str">
        <f t="shared" si="25"/>
        <v>Error?</v>
      </c>
    </row>
    <row r="1687" spans="1:4" x14ac:dyDescent="0.2">
      <c r="A1687" s="5">
        <v>1626</v>
      </c>
      <c r="B1687" s="1831">
        <f>'Acct Summary 7-8'!H79</f>
        <v>51609</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110099</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2120144</v>
      </c>
      <c r="C1744" s="2" t="s">
        <v>569</v>
      </c>
      <c r="D1744" s="2" t="str">
        <f t="shared" si="26"/>
        <v>Error?</v>
      </c>
    </row>
    <row r="1745" spans="1:5" x14ac:dyDescent="0.2">
      <c r="A1745" s="5">
        <v>1684</v>
      </c>
      <c r="B1745" s="1831">
        <f>'Tax Sched 23'!B5</f>
        <v>265017</v>
      </c>
      <c r="C1745" s="2" t="s">
        <v>569</v>
      </c>
      <c r="D1745" s="2" t="str">
        <f t="shared" si="26"/>
        <v>Error?</v>
      </c>
    </row>
    <row r="1746" spans="1:5" x14ac:dyDescent="0.2">
      <c r="A1746" s="5">
        <v>1685</v>
      </c>
      <c r="B1746" s="1831">
        <f>'Tax Sched 23'!B6</f>
        <v>227393</v>
      </c>
      <c r="C1746" s="2" t="s">
        <v>569</v>
      </c>
      <c r="D1746" s="2" t="str">
        <f t="shared" si="26"/>
        <v>Error?</v>
      </c>
    </row>
    <row r="1747" spans="1:5" x14ac:dyDescent="0.2">
      <c r="A1747" s="5">
        <v>1686</v>
      </c>
      <c r="B1747" s="1831">
        <f>'Tax Sched 23'!B7</f>
        <v>106007</v>
      </c>
      <c r="C1747" s="2" t="s">
        <v>569</v>
      </c>
      <c r="D1747" s="2" t="str">
        <f t="shared" si="26"/>
        <v>Error?</v>
      </c>
    </row>
    <row r="1748" spans="1:5" x14ac:dyDescent="0.2">
      <c r="A1748" s="5">
        <v>1687</v>
      </c>
      <c r="B1748" s="1831">
        <f>'Tax Sched 23'!B8</f>
        <v>44858</v>
      </c>
      <c r="C1748" s="2" t="s">
        <v>569</v>
      </c>
      <c r="D1748" s="2" t="str">
        <f t="shared" si="26"/>
        <v>Error?</v>
      </c>
    </row>
    <row r="1749" spans="1:5" x14ac:dyDescent="0.2">
      <c r="A1749" s="5">
        <v>1688</v>
      </c>
      <c r="B1749" s="1831">
        <f>'Tax Sched 23'!B10</f>
        <v>26502</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256177</v>
      </c>
      <c r="C1752" s="2" t="s">
        <v>569</v>
      </c>
      <c r="D1752" s="2" t="str">
        <f t="shared" si="26"/>
        <v>Error?</v>
      </c>
    </row>
    <row r="1753" spans="1:5" x14ac:dyDescent="0.2">
      <c r="A1753" s="5">
        <v>1692</v>
      </c>
      <c r="B1753" s="1831">
        <f>'Tax Sched 23'!B12</f>
        <v>26498</v>
      </c>
      <c r="C1753" s="2" t="s">
        <v>569</v>
      </c>
      <c r="D1753" s="2" t="str">
        <f t="shared" si="26"/>
        <v>Error?</v>
      </c>
    </row>
    <row r="1754" spans="1:5" x14ac:dyDescent="0.2">
      <c r="A1754" s="5">
        <v>1693</v>
      </c>
      <c r="B1754" s="1831">
        <f>'Tax Sched 23'!B14</f>
        <v>21202</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3186280</v>
      </c>
      <c r="C1759" s="2" t="s">
        <v>569</v>
      </c>
      <c r="D1759" s="2" t="str">
        <f t="shared" si="26"/>
        <v>Error?</v>
      </c>
    </row>
    <row r="1760" spans="1:5" x14ac:dyDescent="0.2">
      <c r="A1760" s="5">
        <v>1699</v>
      </c>
      <c r="B1760" s="1831">
        <f>'Tax Sched 23'!D4</f>
        <v>1840573</v>
      </c>
      <c r="C1760" s="2" t="s">
        <v>569</v>
      </c>
      <c r="D1760" s="2" t="str">
        <f t="shared" si="26"/>
        <v>Error?</v>
      </c>
    </row>
    <row r="1761" spans="1:7" x14ac:dyDescent="0.2">
      <c r="A1761" s="5">
        <v>1700</v>
      </c>
      <c r="B1761" s="1831">
        <f>'Tax Sched 23'!D5</f>
        <v>230071</v>
      </c>
      <c r="C1761" s="2" t="s">
        <v>569</v>
      </c>
      <c r="D1761" s="2" t="str">
        <f t="shared" si="26"/>
        <v>Error?</v>
      </c>
    </row>
    <row r="1762" spans="1:7" s="8" customFormat="1" x14ac:dyDescent="0.2">
      <c r="A1762" s="5">
        <v>1701</v>
      </c>
      <c r="B1762" s="1831">
        <f>'Tax Sched 23'!D6</f>
        <v>198966</v>
      </c>
      <c r="C1762" s="2" t="s">
        <v>569</v>
      </c>
      <c r="D1762" s="2" t="str">
        <f t="shared" si="26"/>
        <v>Error?</v>
      </c>
      <c r="E1762" s="9"/>
      <c r="G1762"/>
    </row>
    <row r="1763" spans="1:7" x14ac:dyDescent="0.2">
      <c r="A1763" s="5">
        <v>1702</v>
      </c>
      <c r="B1763" s="1831">
        <f>'Tax Sched 23'!D7</f>
        <v>92028</v>
      </c>
      <c r="C1763" s="2" t="s">
        <v>569</v>
      </c>
      <c r="D1763" s="2" t="str">
        <f t="shared" si="26"/>
        <v>Error?</v>
      </c>
    </row>
    <row r="1764" spans="1:7" x14ac:dyDescent="0.2">
      <c r="A1764" s="5">
        <v>1703</v>
      </c>
      <c r="B1764" s="1831">
        <f>'Tax Sched 23'!D8</f>
        <v>39296</v>
      </c>
      <c r="C1764" s="2" t="s">
        <v>569</v>
      </c>
      <c r="D1764" s="2" t="str">
        <f t="shared" si="26"/>
        <v>Error?</v>
      </c>
    </row>
    <row r="1765" spans="1:7" x14ac:dyDescent="0.2">
      <c r="A1765" s="5">
        <v>1704</v>
      </c>
      <c r="B1765" s="1831">
        <f>'Tax Sched 23'!D10</f>
        <v>23007</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222677</v>
      </c>
      <c r="C1768" s="2" t="s">
        <v>569</v>
      </c>
      <c r="D1768" s="2" t="str">
        <f t="shared" si="26"/>
        <v>Error?</v>
      </c>
    </row>
    <row r="1769" spans="1:7" x14ac:dyDescent="0.2">
      <c r="A1769" s="5">
        <v>1708</v>
      </c>
      <c r="B1769" s="1831">
        <f>'Tax Sched 23'!D12</f>
        <v>23003</v>
      </c>
      <c r="C1769" s="2" t="s">
        <v>569</v>
      </c>
      <c r="D1769" s="2" t="str">
        <f t="shared" si="26"/>
        <v>Error?</v>
      </c>
    </row>
    <row r="1770" spans="1:7" x14ac:dyDescent="0.2">
      <c r="A1770" s="5">
        <v>1709</v>
      </c>
      <c r="B1770" s="1831">
        <f>'Tax Sched 23'!D14</f>
        <v>18406</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2768671</v>
      </c>
      <c r="C1775" s="2" t="s">
        <v>569</v>
      </c>
      <c r="D1775" s="2" t="str">
        <f t="shared" si="26"/>
        <v>Error?</v>
      </c>
    </row>
    <row r="1776" spans="1:7" x14ac:dyDescent="0.2">
      <c r="A1776" s="5">
        <v>1715</v>
      </c>
      <c r="B1776" s="1831">
        <f>'Tax Sched 23'!C4</f>
        <v>279571</v>
      </c>
      <c r="D1776" s="2" t="str">
        <f t="shared" si="26"/>
        <v>Error?</v>
      </c>
    </row>
    <row r="1777" spans="1:4" x14ac:dyDescent="0.2">
      <c r="A1777" s="5">
        <v>1716</v>
      </c>
      <c r="B1777" s="1831">
        <f>'Tax Sched 23'!C5</f>
        <v>34946</v>
      </c>
      <c r="D1777" s="2" t="str">
        <f t="shared" si="26"/>
        <v>Error?</v>
      </c>
    </row>
    <row r="1778" spans="1:4" x14ac:dyDescent="0.2">
      <c r="A1778" s="5">
        <v>1717</v>
      </c>
      <c r="B1778" s="1831">
        <f>'Tax Sched 23'!C6</f>
        <v>28427</v>
      </c>
      <c r="D1778" s="2" t="str">
        <f t="shared" si="26"/>
        <v>Error?</v>
      </c>
    </row>
    <row r="1779" spans="1:4" x14ac:dyDescent="0.2">
      <c r="A1779" s="5">
        <v>1718</v>
      </c>
      <c r="B1779" s="1831">
        <f>'Tax Sched 23'!C7</f>
        <v>13979</v>
      </c>
      <c r="D1779" s="2" t="str">
        <f t="shared" si="26"/>
        <v>Error?</v>
      </c>
    </row>
    <row r="1780" spans="1:4" x14ac:dyDescent="0.2">
      <c r="A1780" s="5">
        <v>1719</v>
      </c>
      <c r="B1780" s="1831">
        <f>'Tax Sched 23'!C8</f>
        <v>5562</v>
      </c>
      <c r="D1780" s="2" t="str">
        <f t="shared" si="26"/>
        <v>Error?</v>
      </c>
    </row>
    <row r="1781" spans="1:4" x14ac:dyDescent="0.2">
      <c r="A1781" s="5">
        <v>1720</v>
      </c>
      <c r="B1781" s="1831">
        <f>'Tax Sched 23'!C10</f>
        <v>3495</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33500</v>
      </c>
      <c r="D1784" s="2" t="str">
        <f t="shared" si="26"/>
        <v>Error?</v>
      </c>
    </row>
    <row r="1785" spans="1:4" x14ac:dyDescent="0.2">
      <c r="A1785" s="5">
        <v>1724</v>
      </c>
      <c r="B1785" s="1831">
        <f>'Tax Sched 23'!C12</f>
        <v>3495</v>
      </c>
      <c r="D1785" s="2" t="str">
        <f t="shared" si="26"/>
        <v>Error?</v>
      </c>
    </row>
    <row r="1786" spans="1:4" x14ac:dyDescent="0.2">
      <c r="A1786" s="5">
        <v>1725</v>
      </c>
      <c r="B1786" s="1831">
        <f>'Tax Sched 23'!C14</f>
        <v>2796</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417609</v>
      </c>
      <c r="C1791" s="2" t="s">
        <v>569</v>
      </c>
      <c r="D1791" s="2" t="str">
        <f t="shared" ref="D1791:D1854" si="27">IF(ISBLANK(B1791),"OK",IF(A1791-B1791=0,"OK","Error?"))</f>
        <v>Error?</v>
      </c>
    </row>
    <row r="1792" spans="1:4" x14ac:dyDescent="0.2">
      <c r="A1792" s="5">
        <v>1731</v>
      </c>
      <c r="B1792" s="1831">
        <f>'Tax Sched 23'!F4</f>
        <v>1931993</v>
      </c>
      <c r="C1792" s="2" t="s">
        <v>569</v>
      </c>
      <c r="D1792" s="2" t="str">
        <f t="shared" si="27"/>
        <v>Error?</v>
      </c>
    </row>
    <row r="1793" spans="1:4" x14ac:dyDescent="0.2">
      <c r="A1793" s="5">
        <v>1732</v>
      </c>
      <c r="B1793" s="1831">
        <f>'Tax Sched 23'!F5</f>
        <v>241499</v>
      </c>
      <c r="C1793" s="2" t="s">
        <v>569</v>
      </c>
      <c r="D1793" s="2" t="str">
        <f t="shared" si="27"/>
        <v>Error?</v>
      </c>
    </row>
    <row r="1794" spans="1:4" x14ac:dyDescent="0.2">
      <c r="A1794" s="5">
        <v>1733</v>
      </c>
      <c r="B1794" s="1831">
        <f>'Tax Sched 23'!F6</f>
        <v>196461</v>
      </c>
      <c r="C1794" s="2" t="s">
        <v>569</v>
      </c>
      <c r="D1794" s="2" t="str">
        <f t="shared" si="27"/>
        <v>Error?</v>
      </c>
    </row>
    <row r="1795" spans="1:4" x14ac:dyDescent="0.2">
      <c r="A1795" s="5">
        <v>1734</v>
      </c>
      <c r="B1795" s="1831">
        <f>'Tax Sched 23'!F7</f>
        <v>96599</v>
      </c>
      <c r="C1795" s="2" t="s">
        <v>569</v>
      </c>
      <c r="D1795" s="2" t="str">
        <f t="shared" si="27"/>
        <v>Error?</v>
      </c>
    </row>
    <row r="1796" spans="1:4" x14ac:dyDescent="0.2">
      <c r="A1796" s="5">
        <v>1735</v>
      </c>
      <c r="B1796" s="1831">
        <f>'Tax Sched 23'!F8</f>
        <v>38437</v>
      </c>
      <c r="C1796" s="2" t="s">
        <v>569</v>
      </c>
      <c r="D1796" s="2" t="str">
        <f t="shared" si="27"/>
        <v>Error?</v>
      </c>
    </row>
    <row r="1797" spans="1:4" x14ac:dyDescent="0.2">
      <c r="A1797" s="5">
        <v>1736</v>
      </c>
      <c r="B1797" s="1831">
        <f>'Tax Sched 23'!F10</f>
        <v>24150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231501</v>
      </c>
      <c r="C1800" s="2" t="s">
        <v>569</v>
      </c>
      <c r="D1800" s="2" t="str">
        <f t="shared" si="27"/>
        <v>Error?</v>
      </c>
    </row>
    <row r="1801" spans="1:4" x14ac:dyDescent="0.2">
      <c r="A1801" s="5">
        <v>1740</v>
      </c>
      <c r="B1801" s="1831">
        <f>'Tax Sched 23'!F12</f>
        <v>24150</v>
      </c>
      <c r="C1801" s="2" t="s">
        <v>569</v>
      </c>
      <c r="D1801" s="2" t="str">
        <f t="shared" si="27"/>
        <v>Error?</v>
      </c>
    </row>
    <row r="1802" spans="1:4" x14ac:dyDescent="0.2">
      <c r="A1802" s="5">
        <v>1741</v>
      </c>
      <c r="B1802" s="1831">
        <f>'Tax Sched 23'!F14</f>
        <v>19320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2885916</v>
      </c>
      <c r="C1807" s="2" t="s">
        <v>569</v>
      </c>
      <c r="D1807" s="2" t="str">
        <f t="shared" si="27"/>
        <v>Error?</v>
      </c>
    </row>
    <row r="1808" spans="1:4" x14ac:dyDescent="0.2">
      <c r="A1808" s="5">
        <v>1747</v>
      </c>
      <c r="B1808" s="1831">
        <f>'Tax Sched 23'!E4</f>
        <v>2211564</v>
      </c>
      <c r="D1808" s="2" t="str">
        <f t="shared" si="27"/>
        <v>Error?</v>
      </c>
    </row>
    <row r="1809" spans="1:4" x14ac:dyDescent="0.2">
      <c r="A1809" s="5">
        <v>1748</v>
      </c>
      <c r="B1809" s="1831">
        <f>'Tax Sched 23'!E5</f>
        <v>276445</v>
      </c>
      <c r="D1809" s="2" t="str">
        <f t="shared" si="27"/>
        <v>Error?</v>
      </c>
    </row>
    <row r="1810" spans="1:4" x14ac:dyDescent="0.2">
      <c r="A1810" s="5">
        <v>1749</v>
      </c>
      <c r="B1810" s="1831">
        <f>'Tax Sched 23'!E6</f>
        <v>224888</v>
      </c>
      <c r="D1810" s="2" t="str">
        <f t="shared" si="27"/>
        <v>Error?</v>
      </c>
    </row>
    <row r="1811" spans="1:4" x14ac:dyDescent="0.2">
      <c r="A1811" s="5">
        <v>1750</v>
      </c>
      <c r="B1811" s="1831">
        <f>'Tax Sched 23'!E7</f>
        <v>110578</v>
      </c>
      <c r="D1811" s="2" t="str">
        <f t="shared" si="27"/>
        <v>Error?</v>
      </c>
    </row>
    <row r="1812" spans="1:4" x14ac:dyDescent="0.2">
      <c r="A1812" s="5">
        <v>1751</v>
      </c>
      <c r="B1812" s="1831">
        <f>'Tax Sched 23'!E8</f>
        <v>43999</v>
      </c>
      <c r="D1812" s="2" t="str">
        <f t="shared" si="27"/>
        <v>Error?</v>
      </c>
    </row>
    <row r="1813" spans="1:4" x14ac:dyDescent="0.2">
      <c r="A1813" s="5">
        <v>1752</v>
      </c>
      <c r="B1813" s="1831">
        <f>'Tax Sched 23'!E10</f>
        <v>27645</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265001</v>
      </c>
      <c r="D1816" s="2" t="str">
        <f t="shared" si="27"/>
        <v>Error?</v>
      </c>
    </row>
    <row r="1817" spans="1:4" x14ac:dyDescent="0.2">
      <c r="A1817" s="5">
        <v>1756</v>
      </c>
      <c r="B1817" s="1831">
        <f>'Tax Sched 23'!E12</f>
        <v>27645</v>
      </c>
      <c r="D1817" s="2" t="str">
        <f t="shared" si="27"/>
        <v>Error?</v>
      </c>
    </row>
    <row r="1818" spans="1:4" x14ac:dyDescent="0.2">
      <c r="A1818" s="5">
        <v>1757</v>
      </c>
      <c r="B1818" s="1831">
        <f>'Tax Sched 23'!E14</f>
        <v>22116</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3303525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1760000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21202</v>
      </c>
      <c r="D1972" s="2" t="str">
        <f t="shared" si="29"/>
        <v>Error?</v>
      </c>
    </row>
    <row r="1973" spans="1:5" x14ac:dyDescent="0.2">
      <c r="A1973" s="5">
        <v>1912</v>
      </c>
      <c r="B1973" s="1831">
        <f>'Rest Tax Levies-Tort Im 25'!H6</f>
        <v>18</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21220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21220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136694</v>
      </c>
      <c r="D2008" s="2" t="str">
        <f t="shared" si="30"/>
        <v>Error?</v>
      </c>
    </row>
    <row r="2009" spans="1:4" x14ac:dyDescent="0.2">
      <c r="A2009" s="5">
        <v>1948</v>
      </c>
      <c r="B2009" s="1831">
        <f>'Cap Outlay Deprec 26'!C8</f>
        <v>4583676</v>
      </c>
      <c r="D2009" s="2" t="str">
        <f t="shared" si="30"/>
        <v>Error?</v>
      </c>
    </row>
    <row r="2010" spans="1:4" x14ac:dyDescent="0.2">
      <c r="A2010" s="5">
        <v>1949</v>
      </c>
      <c r="B2010" s="1831">
        <f>'Cap Outlay Deprec 26'!C10</f>
        <v>3058245</v>
      </c>
      <c r="D2010" s="2" t="str">
        <f t="shared" si="30"/>
        <v>Error?</v>
      </c>
    </row>
    <row r="2011" spans="1:4" x14ac:dyDescent="0.2">
      <c r="A2011" s="5">
        <v>1950</v>
      </c>
      <c r="B2011" s="1831">
        <f>'Cap Outlay Deprec 26'!C12</f>
        <v>196754</v>
      </c>
      <c r="D2011" s="2" t="str">
        <f t="shared" si="30"/>
        <v>Error?</v>
      </c>
    </row>
    <row r="2012" spans="1:4" x14ac:dyDescent="0.2">
      <c r="A2012" s="5">
        <v>1951</v>
      </c>
      <c r="B2012" s="1831">
        <f>'Cap Outlay Deprec 26'!C13</f>
        <v>752396</v>
      </c>
      <c r="D2012" s="2" t="str">
        <f t="shared" si="30"/>
        <v>Error?</v>
      </c>
    </row>
    <row r="2013" spans="1:4" x14ac:dyDescent="0.2">
      <c r="A2013" s="5">
        <v>1952</v>
      </c>
      <c r="B2013" s="1831">
        <f>'Cap Outlay Deprec 26'!C16</f>
        <v>8789457</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126606</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31309</v>
      </c>
      <c r="D2017" s="2" t="str">
        <f t="shared" si="30"/>
        <v>Error?</v>
      </c>
    </row>
    <row r="2018" spans="1:4" x14ac:dyDescent="0.2">
      <c r="A2018" s="5">
        <v>1957</v>
      </c>
      <c r="B2018" s="1831">
        <f>'Cap Outlay Deprec 26'!D13</f>
        <v>20340</v>
      </c>
      <c r="D2018" s="2" t="str">
        <f t="shared" si="30"/>
        <v>Error?</v>
      </c>
    </row>
    <row r="2019" spans="1:4" x14ac:dyDescent="0.2">
      <c r="A2019" s="5">
        <v>1958</v>
      </c>
      <c r="B2019" s="1831">
        <f>'Cap Outlay Deprec 26'!D16</f>
        <v>180035</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42096</v>
      </c>
      <c r="C2025" s="2" t="s">
        <v>569</v>
      </c>
      <c r="D2025" s="2" t="str">
        <f t="shared" si="30"/>
        <v>Error?</v>
      </c>
    </row>
    <row r="2026" spans="1:4" x14ac:dyDescent="0.2">
      <c r="A2026" s="5">
        <v>1965</v>
      </c>
      <c r="B2026" s="1831">
        <f>'Cap Outlay Deprec 26'!F5</f>
        <v>136694</v>
      </c>
      <c r="C2026" s="2" t="s">
        <v>569</v>
      </c>
      <c r="D2026" s="2" t="str">
        <f t="shared" si="30"/>
        <v>Error?</v>
      </c>
    </row>
    <row r="2027" spans="1:4" x14ac:dyDescent="0.2">
      <c r="A2027" s="5">
        <v>1966</v>
      </c>
      <c r="B2027" s="1831">
        <f>'Cap Outlay Deprec 26'!F8</f>
        <v>4710282</v>
      </c>
      <c r="C2027" s="2" t="s">
        <v>569</v>
      </c>
      <c r="D2027" s="2" t="str">
        <f t="shared" si="30"/>
        <v>Error?</v>
      </c>
    </row>
    <row r="2028" spans="1:4" x14ac:dyDescent="0.2">
      <c r="A2028" s="5">
        <v>1967</v>
      </c>
      <c r="B2028" s="1831">
        <f>'Cap Outlay Deprec 26'!F10</f>
        <v>3058245</v>
      </c>
      <c r="C2028" s="2" t="s">
        <v>569</v>
      </c>
      <c r="D2028" s="2" t="str">
        <f t="shared" si="30"/>
        <v>Error?</v>
      </c>
    </row>
    <row r="2029" spans="1:4" x14ac:dyDescent="0.2">
      <c r="A2029" s="5">
        <v>1968</v>
      </c>
      <c r="B2029" s="1831">
        <f>'Cap Outlay Deprec 26'!F12</f>
        <v>228063</v>
      </c>
      <c r="C2029" s="2" t="s">
        <v>569</v>
      </c>
      <c r="D2029" s="2" t="str">
        <f t="shared" si="30"/>
        <v>Error?</v>
      </c>
    </row>
    <row r="2030" spans="1:4" x14ac:dyDescent="0.2">
      <c r="A2030" s="5">
        <v>1969</v>
      </c>
      <c r="B2030" s="1831">
        <f>'Cap Outlay Deprec 26'!F13</f>
        <v>772736</v>
      </c>
      <c r="C2030" s="2" t="s">
        <v>569</v>
      </c>
      <c r="D2030" s="2" t="str">
        <f t="shared" si="30"/>
        <v>Error?</v>
      </c>
    </row>
    <row r="2031" spans="1:4" x14ac:dyDescent="0.2">
      <c r="A2031" s="5">
        <v>1970</v>
      </c>
      <c r="B2031" s="1831">
        <f>'Cap Outlay Deprec 26'!F16</f>
        <v>8927396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2419450</v>
      </c>
      <c r="D2033" s="2" t="str">
        <f t="shared" si="30"/>
        <v>Error?</v>
      </c>
    </row>
    <row r="2034" spans="1:4" x14ac:dyDescent="0.2">
      <c r="A2034" s="5">
        <v>1973</v>
      </c>
      <c r="B2034" s="1831">
        <f>'Cap Outlay Deprec 26'!H10</f>
        <v>1180576</v>
      </c>
      <c r="D2034" s="2" t="str">
        <f t="shared" si="30"/>
        <v>Error?</v>
      </c>
    </row>
    <row r="2035" spans="1:4" x14ac:dyDescent="0.2">
      <c r="A2035" s="5">
        <v>1974</v>
      </c>
      <c r="B2035" s="1831">
        <f>'Cap Outlay Deprec 26'!H12</f>
        <v>64721</v>
      </c>
      <c r="D2035" s="2" t="str">
        <f t="shared" si="30"/>
        <v>Error?</v>
      </c>
    </row>
    <row r="2036" spans="1:4" x14ac:dyDescent="0.2">
      <c r="A2036" s="5">
        <v>1975</v>
      </c>
      <c r="B2036" s="1831">
        <f>'Cap Outlay Deprec 26'!H13</f>
        <v>738042</v>
      </c>
      <c r="D2036" s="2" t="str">
        <f t="shared" si="30"/>
        <v>Error?</v>
      </c>
    </row>
    <row r="2037" spans="1:4" x14ac:dyDescent="0.2">
      <c r="A2037" s="5">
        <v>1976</v>
      </c>
      <c r="B2037" s="1831">
        <f>'Cap Outlay Deprec 26'!H16</f>
        <v>4422385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69533</v>
      </c>
      <c r="D2039" s="2" t="str">
        <f t="shared" si="30"/>
        <v>Error?</v>
      </c>
    </row>
    <row r="2040" spans="1:4" x14ac:dyDescent="0.2">
      <c r="A2040" s="5">
        <v>1979</v>
      </c>
      <c r="B2040" s="1831">
        <f>'Cap Outlay Deprec 26'!I10</f>
        <v>146312</v>
      </c>
      <c r="D2040" s="2" t="str">
        <f t="shared" si="30"/>
        <v>Error?</v>
      </c>
    </row>
    <row r="2041" spans="1:4" x14ac:dyDescent="0.2">
      <c r="A2041" s="5">
        <v>1980</v>
      </c>
      <c r="B2041" s="1831">
        <f>'Cap Outlay Deprec 26'!I12</f>
        <v>20972</v>
      </c>
      <c r="D2041" s="2" t="str">
        <f t="shared" si="30"/>
        <v>Error?</v>
      </c>
    </row>
    <row r="2042" spans="1:4" x14ac:dyDescent="0.2">
      <c r="A2042" s="5">
        <v>1981</v>
      </c>
      <c r="B2042" s="1831">
        <f>'Cap Outlay Deprec 26'!I13</f>
        <v>13544</v>
      </c>
      <c r="D2042" s="2" t="str">
        <f t="shared" si="30"/>
        <v>Error?</v>
      </c>
    </row>
    <row r="2043" spans="1:4" x14ac:dyDescent="0.2">
      <c r="A2043" s="5">
        <v>1982</v>
      </c>
      <c r="B2043" s="1831">
        <f>'Cap Outlay Deprec 26'!I16</f>
        <v>250954</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2488983</v>
      </c>
      <c r="C2051" s="2" t="s">
        <v>569</v>
      </c>
      <c r="D2051" s="2" t="str">
        <f t="shared" si="31"/>
        <v>Error?</v>
      </c>
    </row>
    <row r="2052" spans="1:4" x14ac:dyDescent="0.2">
      <c r="A2052" s="5">
        <v>1991</v>
      </c>
      <c r="B2052" s="1831">
        <f>'Cap Outlay Deprec 26'!K10</f>
        <v>1326888</v>
      </c>
      <c r="C2052" s="2" t="s">
        <v>569</v>
      </c>
      <c r="D2052" s="2" t="str">
        <f t="shared" si="31"/>
        <v>Error?</v>
      </c>
    </row>
    <row r="2053" spans="1:4" x14ac:dyDescent="0.2">
      <c r="A2053" s="5">
        <v>1992</v>
      </c>
      <c r="B2053" s="1831">
        <f>'Cap Outlay Deprec 26'!K12</f>
        <v>85693</v>
      </c>
      <c r="C2053" s="2" t="s">
        <v>569</v>
      </c>
      <c r="D2053" s="2" t="str">
        <f t="shared" si="31"/>
        <v>Error?</v>
      </c>
    </row>
    <row r="2054" spans="1:4" x14ac:dyDescent="0.2">
      <c r="A2054" s="5">
        <v>1993</v>
      </c>
      <c r="B2054" s="1831">
        <f>'Cap Outlay Deprec 26'!K13</f>
        <v>751586</v>
      </c>
      <c r="C2054" s="2" t="s">
        <v>569</v>
      </c>
      <c r="D2054" s="2" t="str">
        <f t="shared" si="31"/>
        <v>Error?</v>
      </c>
    </row>
    <row r="2055" spans="1:4" x14ac:dyDescent="0.2">
      <c r="A2055" s="5">
        <v>1994</v>
      </c>
      <c r="B2055" s="1831">
        <f>'Cap Outlay Deprec 26'!K16</f>
        <v>4673339</v>
      </c>
      <c r="C2055" s="2" t="s">
        <v>569</v>
      </c>
      <c r="D2055" s="2" t="str">
        <f t="shared" si="31"/>
        <v>Error?</v>
      </c>
    </row>
    <row r="2056" spans="1:4" x14ac:dyDescent="0.2">
      <c r="A2056" s="5">
        <v>1995</v>
      </c>
      <c r="B2056" s="1831">
        <f>'Cap Outlay Deprec 26'!L5</f>
        <v>136694</v>
      </c>
      <c r="C2056" s="2" t="s">
        <v>569</v>
      </c>
      <c r="D2056" s="2" t="str">
        <f t="shared" si="31"/>
        <v>Error?</v>
      </c>
    </row>
    <row r="2057" spans="1:4" x14ac:dyDescent="0.2">
      <c r="A2057" s="5">
        <v>1996</v>
      </c>
      <c r="B2057" s="1831">
        <f>'Cap Outlay Deprec 26'!L8</f>
        <v>2221299</v>
      </c>
      <c r="C2057" s="2" t="s">
        <v>569</v>
      </c>
      <c r="D2057" s="2" t="str">
        <f t="shared" si="31"/>
        <v>Error?</v>
      </c>
    </row>
    <row r="2058" spans="1:4" x14ac:dyDescent="0.2">
      <c r="A2058" s="5">
        <v>1997</v>
      </c>
      <c r="B2058" s="1831">
        <f>'Cap Outlay Deprec 26'!L10</f>
        <v>1731357</v>
      </c>
      <c r="C2058" s="2" t="s">
        <v>569</v>
      </c>
      <c r="D2058" s="2" t="str">
        <f t="shared" si="31"/>
        <v>Error?</v>
      </c>
    </row>
    <row r="2059" spans="1:4" x14ac:dyDescent="0.2">
      <c r="A2059" s="5">
        <v>1998</v>
      </c>
      <c r="B2059" s="1831">
        <f>'Cap Outlay Deprec 26'!L12</f>
        <v>142370</v>
      </c>
      <c r="C2059" s="2" t="s">
        <v>569</v>
      </c>
      <c r="D2059" s="2" t="str">
        <f t="shared" si="31"/>
        <v>Error?</v>
      </c>
    </row>
    <row r="2060" spans="1:4" x14ac:dyDescent="0.2">
      <c r="A2060" s="5">
        <v>1999</v>
      </c>
      <c r="B2060" s="1831">
        <f>'Cap Outlay Deprec 26'!L13</f>
        <v>21150</v>
      </c>
      <c r="C2060" s="2" t="s">
        <v>569</v>
      </c>
      <c r="D2060" s="2" t="str">
        <f t="shared" si="31"/>
        <v>Error?</v>
      </c>
    </row>
    <row r="2061" spans="1:4" x14ac:dyDescent="0.2">
      <c r="A2061" s="5">
        <v>2000</v>
      </c>
      <c r="B2061" s="1831">
        <f>'Cap Outlay Deprec 26'!L16</f>
        <v>4254057</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2100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144884</v>
      </c>
      <c r="C2088" s="2" t="s">
        <v>569</v>
      </c>
      <c r="D2088" s="2" t="str">
        <f t="shared" si="31"/>
        <v>Error?</v>
      </c>
    </row>
    <row r="2089" spans="1:4" x14ac:dyDescent="0.2">
      <c r="A2089" s="5">
        <v>2028</v>
      </c>
      <c r="B2089" s="1831">
        <f>'Expenditures 15-22'!K92</f>
        <v>116345</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33000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20806</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88497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50000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2330710</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390054</v>
      </c>
      <c r="C2553" s="2" t="s">
        <v>569</v>
      </c>
      <c r="D2553" s="2" t="str">
        <f t="shared" si="38"/>
        <v>Error?</v>
      </c>
    </row>
    <row r="2554" spans="1:4" x14ac:dyDescent="0.2">
      <c r="A2554" s="5">
        <v>2493</v>
      </c>
      <c r="B2554" s="1831">
        <f>'Acct Summary 7-8'!C7</f>
        <v>298978</v>
      </c>
      <c r="C2554" s="2" t="s">
        <v>569</v>
      </c>
      <c r="D2554" s="2" t="str">
        <f t="shared" si="38"/>
        <v>Error?</v>
      </c>
    </row>
    <row r="2555" spans="1:4" x14ac:dyDescent="0.2">
      <c r="A2555" s="5">
        <v>2494</v>
      </c>
      <c r="B2555" s="1831">
        <f>'Acct Summary 7-8'!C8</f>
        <v>3019742</v>
      </c>
      <c r="C2555" s="2" t="s">
        <v>569</v>
      </c>
      <c r="D2555" s="2" t="str">
        <f t="shared" si="38"/>
        <v>Error?</v>
      </c>
    </row>
    <row r="2556" spans="1:4" x14ac:dyDescent="0.2">
      <c r="A2556" s="5">
        <v>2495</v>
      </c>
      <c r="B2556" s="1831">
        <f>'Acct Summary 7-8'!C12</f>
        <v>1737201</v>
      </c>
      <c r="C2556" s="2" t="s">
        <v>569</v>
      </c>
      <c r="D2556" s="2" t="str">
        <f t="shared" si="38"/>
        <v>Error?</v>
      </c>
    </row>
    <row r="2557" spans="1:4" x14ac:dyDescent="0.2">
      <c r="A2557" s="5">
        <v>2496</v>
      </c>
      <c r="B2557" s="1831">
        <f>'Acct Summary 7-8'!C13</f>
        <v>735472</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261229</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2733902</v>
      </c>
      <c r="C2561" s="2" t="s">
        <v>569</v>
      </c>
      <c r="D2561" s="2" t="str">
        <f t="shared" si="39"/>
        <v>Error?</v>
      </c>
    </row>
    <row r="2562" spans="1:4" x14ac:dyDescent="0.2">
      <c r="A2562" s="5">
        <v>2501</v>
      </c>
      <c r="B2562" s="1831">
        <f>'Acct Summary 7-8'!C20</f>
        <v>285840</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292186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292186</v>
      </c>
      <c r="C2568" s="2" t="s">
        <v>569</v>
      </c>
      <c r="D2568" s="2" t="str">
        <f t="shared" si="39"/>
        <v>Error?</v>
      </c>
    </row>
    <row r="2569" spans="1:4" x14ac:dyDescent="0.2">
      <c r="A2569" s="5">
        <v>2508</v>
      </c>
      <c r="B2569" s="1831">
        <f>'Acct Summary 7-8'!D13</f>
        <v>282258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282258</v>
      </c>
      <c r="C2573" s="2" t="s">
        <v>569</v>
      </c>
      <c r="D2573" s="2" t="str">
        <f t="shared" si="39"/>
        <v>Error?</v>
      </c>
    </row>
    <row r="2574" spans="1:4" x14ac:dyDescent="0.2">
      <c r="A2574" s="5">
        <v>2513</v>
      </c>
      <c r="B2574" s="1831">
        <f>'Acct Summary 7-8'!D20</f>
        <v>9928</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108988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145105</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254093</v>
      </c>
      <c r="C2595" s="2" t="s">
        <v>569</v>
      </c>
      <c r="D2595" s="2" t="str">
        <f t="shared" si="39"/>
        <v>Error?</v>
      </c>
    </row>
    <row r="2596" spans="1:4" x14ac:dyDescent="0.2">
      <c r="A2596" s="5">
        <v>2535</v>
      </c>
      <c r="B2596" s="1831">
        <f>'Acct Summary 7-8'!F13</f>
        <v>262031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262031</v>
      </c>
      <c r="C2600" s="2" t="s">
        <v>569</v>
      </c>
      <c r="D2600" s="2" t="str">
        <f t="shared" si="39"/>
        <v>Error?</v>
      </c>
    </row>
    <row r="2601" spans="1:4" x14ac:dyDescent="0.2">
      <c r="A2601" s="5">
        <v>2540</v>
      </c>
      <c r="B2601" s="1831">
        <f>'Acct Summary 7-8'!F20</f>
        <v>-7938</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122498</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122498</v>
      </c>
      <c r="C2606" s="2" t="s">
        <v>569</v>
      </c>
      <c r="D2606" s="2" t="str">
        <f t="shared" si="39"/>
        <v>Error?</v>
      </c>
    </row>
    <row r="2607" spans="1:4" x14ac:dyDescent="0.2">
      <c r="A2607" s="5">
        <v>2546</v>
      </c>
      <c r="B2607" s="1831">
        <f>'Acct Summary 7-8'!G12</f>
        <v>39034</v>
      </c>
      <c r="C2607" s="2" t="s">
        <v>569</v>
      </c>
      <c r="D2607" s="2" t="str">
        <f t="shared" si="39"/>
        <v>Error?</v>
      </c>
    </row>
    <row r="2608" spans="1:4" x14ac:dyDescent="0.2">
      <c r="A2608" s="5">
        <v>2547</v>
      </c>
      <c r="B2608" s="1831">
        <f>'Acct Summary 7-8'!G13</f>
        <v>73318</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112352</v>
      </c>
      <c r="C2612" s="2" t="s">
        <v>569</v>
      </c>
      <c r="D2612" s="2" t="str">
        <f t="shared" si="39"/>
        <v>Error?</v>
      </c>
    </row>
    <row r="2613" spans="1:4" x14ac:dyDescent="0.2">
      <c r="A2613" s="5">
        <v>2552</v>
      </c>
      <c r="B2613" s="1831">
        <f>'Acct Summary 7-8'!G20</f>
        <v>10146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229632</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229632</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226815</v>
      </c>
      <c r="C2634" s="2" t="s">
        <v>569</v>
      </c>
      <c r="D2634" s="2" t="str">
        <f t="shared" si="40"/>
        <v>Error?</v>
      </c>
    </row>
    <row r="2635" spans="1:4" x14ac:dyDescent="0.2">
      <c r="A2635" s="5">
        <v>2574</v>
      </c>
      <c r="B2635" s="1831">
        <f>'Acct Summary 7-8'!E17</f>
        <v>226815</v>
      </c>
      <c r="C2635" s="2" t="s">
        <v>569</v>
      </c>
      <c r="D2635" s="2" t="str">
        <f t="shared" si="40"/>
        <v>Error?</v>
      </c>
    </row>
    <row r="2636" spans="1:4" x14ac:dyDescent="0.2">
      <c r="A2636" s="5">
        <v>2575</v>
      </c>
      <c r="B2636" s="1831">
        <f>'Acct Summary 7-8'!E20</f>
        <v>2817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60000</v>
      </c>
      <c r="C2655" s="2" t="s">
        <v>569</v>
      </c>
      <c r="D2655" s="2" t="str">
        <f t="shared" si="40"/>
        <v>Error?</v>
      </c>
    </row>
    <row r="2656" spans="1:4" x14ac:dyDescent="0.2">
      <c r="A2656" s="5">
        <v>2595</v>
      </c>
      <c r="B2656" s="1831">
        <f>'Acct Summary 7-8'!H6</f>
        <v>50000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110000</v>
      </c>
      <c r="C2658" s="2" t="s">
        <v>569</v>
      </c>
      <c r="D2658" s="2" t="str">
        <f t="shared" si="40"/>
        <v>Error?</v>
      </c>
    </row>
    <row r="2659" spans="1:4" x14ac:dyDescent="0.2">
      <c r="A2659" s="5">
        <v>2598</v>
      </c>
      <c r="B2659" s="1831">
        <f>'Acct Summary 7-8'!H13</f>
        <v>84510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84510</v>
      </c>
      <c r="C2661" s="2" t="s">
        <v>569</v>
      </c>
      <c r="D2661" s="2" t="str">
        <f t="shared" si="40"/>
        <v>Error?</v>
      </c>
    </row>
    <row r="2662" spans="1:4" x14ac:dyDescent="0.2">
      <c r="A2662" s="5">
        <v>2601</v>
      </c>
      <c r="B2662" s="1831">
        <f>'Acct Summary 7-8'!H20</f>
        <v>25490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142784</v>
      </c>
      <c r="C2789" s="2" t="s">
        <v>569</v>
      </c>
      <c r="D2789" s="2" t="str">
        <f t="shared" si="42"/>
        <v>Error?</v>
      </c>
    </row>
    <row r="2790" spans="1:4" x14ac:dyDescent="0.2">
      <c r="A2790" s="5">
        <v>2729</v>
      </c>
      <c r="B2790" s="1831">
        <f>'Expenditures 15-22'!E102</f>
        <v>142784</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635662</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770003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144563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770003</v>
      </c>
      <c r="D2912" s="2" t="str">
        <f t="shared" si="44"/>
        <v>Error?</v>
      </c>
    </row>
    <row r="2913" spans="1:4" x14ac:dyDescent="0.2">
      <c r="A2913" s="5">
        <v>2852</v>
      </c>
      <c r="B2913" s="1831">
        <f>'Assets-Liab 5-6'!I41</f>
        <v>770003</v>
      </c>
      <c r="C2913" s="2" t="s">
        <v>569</v>
      </c>
      <c r="D2913" s="2" t="str">
        <f t="shared" si="44"/>
        <v>Error?</v>
      </c>
    </row>
    <row r="2914" spans="1:4" x14ac:dyDescent="0.2">
      <c r="A2914" s="5">
        <v>2853</v>
      </c>
      <c r="B2914" s="1831">
        <f>'Assets-Liab 5-6'!L33</f>
        <v>53092</v>
      </c>
      <c r="D2914" s="2" t="str">
        <f t="shared" si="44"/>
        <v>Error?</v>
      </c>
    </row>
    <row r="2915" spans="1:4" x14ac:dyDescent="0.2">
      <c r="A2915" s="10">
        <v>2854</v>
      </c>
      <c r="B2915" s="1831"/>
      <c r="D2915" s="2" t="str">
        <f t="shared" si="44"/>
        <v>OK</v>
      </c>
    </row>
    <row r="2916" spans="1:4" x14ac:dyDescent="0.2">
      <c r="A2916" s="5">
        <v>2855</v>
      </c>
      <c r="B2916" s="1831">
        <f>'Assets-Liab 5-6'!L34</f>
        <v>53092</v>
      </c>
      <c r="C2916" s="2" t="s">
        <v>569</v>
      </c>
      <c r="D2916" s="2" t="str">
        <f t="shared" si="44"/>
        <v>Error?</v>
      </c>
    </row>
    <row r="2917" spans="1:4" x14ac:dyDescent="0.2">
      <c r="A2917" s="5">
        <v>2856</v>
      </c>
      <c r="B2917" s="1831">
        <f>'Assets-Liab 5-6'!L41</f>
        <v>144563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40179</v>
      </c>
      <c r="D2949" s="2" t="str">
        <f t="shared" si="45"/>
        <v>Error?</v>
      </c>
    </row>
    <row r="2950" spans="1:4" x14ac:dyDescent="0.2">
      <c r="A2950" s="5">
        <v>2889</v>
      </c>
      <c r="B2950" s="1831">
        <f>'Expenditures 15-22'!E79</f>
        <v>102605</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2100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42279</v>
      </c>
      <c r="C2973" s="2" t="s">
        <v>569</v>
      </c>
      <c r="D2973" s="2" t="str">
        <f t="shared" si="45"/>
        <v>Error?</v>
      </c>
    </row>
    <row r="2974" spans="1:4" x14ac:dyDescent="0.2">
      <c r="A2974" s="5">
        <v>2913</v>
      </c>
      <c r="B2974" s="1831">
        <f>'Expenditures 15-22'!K79</f>
        <v>102605</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58270</v>
      </c>
      <c r="D3055" s="2" t="str">
        <f t="shared" si="46"/>
        <v>Error?</v>
      </c>
    </row>
    <row r="3056" spans="1:4" x14ac:dyDescent="0.2">
      <c r="A3056" s="5">
        <v>2995</v>
      </c>
      <c r="B3056" s="1831">
        <f>'Expenditures 15-22'!D10</f>
        <v>11014</v>
      </c>
      <c r="D3056" s="2" t="str">
        <f t="shared" si="46"/>
        <v>Error?</v>
      </c>
    </row>
    <row r="3057" spans="1:4" x14ac:dyDescent="0.2">
      <c r="A3057" s="5">
        <v>2996</v>
      </c>
      <c r="B3057" s="1831">
        <f>'Expenditures 15-22'!E10</f>
        <v>1247</v>
      </c>
      <c r="D3057" s="2" t="str">
        <f t="shared" si="46"/>
        <v>Error?</v>
      </c>
    </row>
    <row r="3058" spans="1:4" x14ac:dyDescent="0.2">
      <c r="A3058" s="5">
        <v>2997</v>
      </c>
      <c r="B3058" s="1831">
        <f>'Expenditures 15-22'!F10</f>
        <v>15765</v>
      </c>
      <c r="D3058" s="2" t="str">
        <f t="shared" si="46"/>
        <v>Error?</v>
      </c>
    </row>
    <row r="3059" spans="1:4" x14ac:dyDescent="0.2">
      <c r="A3059" s="5">
        <v>2998</v>
      </c>
      <c r="B3059" s="1831">
        <f>'Expenditures 15-22'!G10</f>
        <v>10000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96296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12037</v>
      </c>
      <c r="D3064" s="2" t="str">
        <f t="shared" si="46"/>
        <v>Error?</v>
      </c>
    </row>
    <row r="3065" spans="1:4" x14ac:dyDescent="0.2">
      <c r="A3065" s="5">
        <v>3004</v>
      </c>
      <c r="B3065" s="1831">
        <f>'Expenditures 15-22'!K219</f>
        <v>12037</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91471</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33414</v>
      </c>
      <c r="C3225" s="2" t="s">
        <v>569</v>
      </c>
      <c r="D3225" s="2" t="str">
        <f t="shared" si="49"/>
        <v>Error?</v>
      </c>
    </row>
    <row r="3226" spans="1:4" x14ac:dyDescent="0.2">
      <c r="A3226" s="5">
        <v>3165</v>
      </c>
      <c r="B3226" s="1831">
        <f>'Acct Summary 7-8'!I8</f>
        <v>33414</v>
      </c>
      <c r="C3226" s="2" t="s">
        <v>569</v>
      </c>
      <c r="D3226" s="2" t="str">
        <f t="shared" si="49"/>
        <v>Error?</v>
      </c>
    </row>
    <row r="3227" spans="1:4" x14ac:dyDescent="0.2">
      <c r="A3227" s="5">
        <v>3166</v>
      </c>
      <c r="B3227" s="1831">
        <f>'Acct Summary 7-8'!I20</f>
        <v>33414</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285840</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9928</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-7938</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10146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2817</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33000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33000</v>
      </c>
      <c r="C3299" s="2" t="s">
        <v>569</v>
      </c>
      <c r="D3299" s="2" t="str">
        <f t="shared" si="50"/>
        <v>Error?</v>
      </c>
    </row>
    <row r="3300" spans="1:4" x14ac:dyDescent="0.2">
      <c r="A3300" s="5">
        <v>3239</v>
      </c>
      <c r="B3300" s="1831">
        <f>'Acct Summary 7-8'!H78</f>
        <v>58490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33000</v>
      </c>
      <c r="C3318" s="2" t="s">
        <v>569</v>
      </c>
      <c r="D3318" s="2" t="str">
        <f t="shared" si="50"/>
        <v>Error?</v>
      </c>
    </row>
    <row r="3319" spans="1:4" x14ac:dyDescent="0.2">
      <c r="A3319" s="5">
        <v>3258</v>
      </c>
      <c r="B3319" s="1831">
        <f>'Acct Summary 7-8'!I77</f>
        <v>-33000</v>
      </c>
      <c r="C3319" s="2" t="s">
        <v>569</v>
      </c>
      <c r="D3319" s="2" t="str">
        <f t="shared" si="50"/>
        <v>Error?</v>
      </c>
    </row>
    <row r="3320" spans="1:4" x14ac:dyDescent="0.2">
      <c r="A3320" s="5">
        <v>3259</v>
      </c>
      <c r="B3320" s="1831">
        <f>'Acct Summary 7-8'!I78</f>
        <v>414</v>
      </c>
      <c r="C3320" s="2" t="s">
        <v>569</v>
      </c>
      <c r="D3320" s="2" t="str">
        <f t="shared" si="50"/>
        <v>Error?</v>
      </c>
    </row>
    <row r="3321" spans="1:4" x14ac:dyDescent="0.2">
      <c r="A3321" s="5">
        <v>3260</v>
      </c>
      <c r="B3321" s="1831">
        <f>'Acct Summary 7-8'!I79</f>
        <v>769589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770003</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239666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72633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18177</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7183</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337659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18378</v>
      </c>
      <c r="D3387" s="2" t="str">
        <f t="shared" si="51"/>
        <v>Error?</v>
      </c>
    </row>
    <row r="3388" spans="1:4" x14ac:dyDescent="0.2">
      <c r="A3388" s="5">
        <v>3327</v>
      </c>
      <c r="B3388" s="1831">
        <f>'Expenditures 15-22'!D217</f>
        <v>5526</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18378</v>
      </c>
      <c r="C3390" s="2" t="s">
        <v>569</v>
      </c>
      <c r="D3390" s="2" t="str">
        <f t="shared" si="51"/>
        <v>Error?</v>
      </c>
    </row>
    <row r="3391" spans="1:4" x14ac:dyDescent="0.2">
      <c r="A3391" s="5">
        <v>3330</v>
      </c>
      <c r="B3391" s="1831">
        <f>'Expenditures 15-22'!K217</f>
        <v>5526</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711442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217867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86902</v>
      </c>
      <c r="D3417" s="2" t="str">
        <f t="shared" si="52"/>
        <v>Error?</v>
      </c>
    </row>
    <row r="3418" spans="1:4" x14ac:dyDescent="0.2">
      <c r="A3418" s="10">
        <v>3357</v>
      </c>
      <c r="B3418" s="1831"/>
      <c r="D3418" s="2" t="str">
        <f t="shared" si="52"/>
        <v>OK</v>
      </c>
    </row>
    <row r="3419" spans="1:4" x14ac:dyDescent="0.2">
      <c r="A3419" s="5">
        <v>3358</v>
      </c>
      <c r="B3419" s="1831">
        <f>'Assets-Liab 5-6'!F4</f>
        <v>257787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145370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110099</v>
      </c>
      <c r="D3425" s="2" t="str">
        <f t="shared" si="52"/>
        <v>Error?</v>
      </c>
    </row>
    <row r="3426" spans="1:4" x14ac:dyDescent="0.2">
      <c r="A3426" s="10">
        <v>3365</v>
      </c>
      <c r="B3426" s="1831"/>
      <c r="D3426" s="2" t="str">
        <f t="shared" si="52"/>
        <v>OK</v>
      </c>
    </row>
    <row r="3427" spans="1:4" x14ac:dyDescent="0.2">
      <c r="A3427" s="5">
        <v>3366</v>
      </c>
      <c r="B3427" s="1831">
        <f>'Assets-Liab 5-6'!I4</f>
        <v>134341</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144563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65980</v>
      </c>
      <c r="C3446" s="2" t="s">
        <v>569</v>
      </c>
      <c r="D3446" s="2" t="str">
        <f t="shared" si="52"/>
        <v>Error?</v>
      </c>
    </row>
    <row r="3447" spans="1:4" x14ac:dyDescent="0.2">
      <c r="A3447" s="5">
        <v>3386</v>
      </c>
      <c r="B3447" s="1831">
        <f>'Tax Sched 23'!D16</f>
        <v>57637</v>
      </c>
      <c r="C3447" s="2" t="s">
        <v>569</v>
      </c>
      <c r="D3447" s="2" t="str">
        <f t="shared" si="52"/>
        <v>Error?</v>
      </c>
    </row>
    <row r="3448" spans="1:4" x14ac:dyDescent="0.2">
      <c r="A3448" s="5">
        <v>3387</v>
      </c>
      <c r="B3448" s="1831">
        <f>'Tax Sched 23'!C16</f>
        <v>8343</v>
      </c>
      <c r="D3448" s="2" t="str">
        <f t="shared" si="52"/>
        <v>Error?</v>
      </c>
    </row>
    <row r="3449" spans="1:4" x14ac:dyDescent="0.2">
      <c r="A3449" s="5">
        <v>3388</v>
      </c>
      <c r="B3449" s="1831">
        <f>'Tax Sched 23'!F16</f>
        <v>57656</v>
      </c>
      <c r="C3449" s="2" t="s">
        <v>569</v>
      </c>
      <c r="D3449" s="2" t="str">
        <f t="shared" si="52"/>
        <v>Error?</v>
      </c>
    </row>
    <row r="3450" spans="1:4" x14ac:dyDescent="0.2">
      <c r="A3450" s="5">
        <v>3389</v>
      </c>
      <c r="B3450" s="1831">
        <f>'Tax Sched 23'!E16</f>
        <v>65999</v>
      </c>
      <c r="D3450" s="2" t="str">
        <f t="shared" si="52"/>
        <v>Error?</v>
      </c>
    </row>
    <row r="3451" spans="1:4" x14ac:dyDescent="0.2">
      <c r="A3451" s="5">
        <v>3390</v>
      </c>
      <c r="B3451" s="1831">
        <f>'Cap Outlay Deprec 26'!C15</f>
        <v>42096</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42096</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37070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37070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37070</v>
      </c>
      <c r="D3567" s="2" t="str">
        <f t="shared" si="54"/>
        <v>Error?</v>
      </c>
    </row>
    <row r="3568" spans="1:4" x14ac:dyDescent="0.2">
      <c r="A3568" s="5">
        <v>3507</v>
      </c>
      <c r="B3568" s="1831">
        <f>'Assets-Liab 5-6'!K41</f>
        <v>37070</v>
      </c>
      <c r="C3568" s="2" t="s">
        <v>569</v>
      </c>
      <c r="D3568" s="2" t="str">
        <f t="shared" si="54"/>
        <v>Error?</v>
      </c>
    </row>
    <row r="3569" spans="1:4" x14ac:dyDescent="0.2">
      <c r="A3569" s="5">
        <v>3508</v>
      </c>
      <c r="B3569" s="1831">
        <f>'Acct Summary 7-8'!K4</f>
        <v>26498</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26498</v>
      </c>
      <c r="C3571" s="2" t="s">
        <v>569</v>
      </c>
      <c r="D3571" s="2" t="str">
        <f t="shared" si="54"/>
        <v>Error?</v>
      </c>
    </row>
    <row r="3572" spans="1:4" x14ac:dyDescent="0.2">
      <c r="A3572" s="5">
        <v>3511</v>
      </c>
      <c r="B3572" s="1831">
        <f>'Acct Summary 7-8'!K13</f>
        <v>1697</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1697</v>
      </c>
      <c r="C3575" s="2" t="s">
        <v>569</v>
      </c>
      <c r="D3575" s="2" t="str">
        <f t="shared" si="54"/>
        <v>Error?</v>
      </c>
    </row>
    <row r="3576" spans="1:4" x14ac:dyDescent="0.2">
      <c r="A3576" s="5">
        <v>3515</v>
      </c>
      <c r="B3576" s="1831">
        <f>'Acct Summary 7-8'!K20</f>
        <v>24801</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24801</v>
      </c>
      <c r="C3588" s="2" t="s">
        <v>569</v>
      </c>
      <c r="D3588" s="2" t="str">
        <f t="shared" si="55"/>
        <v>Error?</v>
      </c>
    </row>
    <row r="3589" spans="1:4" x14ac:dyDescent="0.2">
      <c r="A3589" s="5">
        <v>3528</v>
      </c>
      <c r="B3589" s="1831">
        <f>'Acct Summary 7-8'!K79</f>
        <v>12269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37070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1697</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1697</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1697</v>
      </c>
      <c r="C3635" s="2" t="s">
        <v>569</v>
      </c>
      <c r="D3635" s="2" t="str">
        <f t="shared" si="55"/>
        <v>Error?</v>
      </c>
    </row>
    <row r="3636" spans="1:4" x14ac:dyDescent="0.2">
      <c r="A3636" s="5">
        <v>3575</v>
      </c>
      <c r="B3636" s="1831">
        <f>'Expenditures 15-22'!E367</f>
        <v>1697</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1697</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1697</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1697</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1697</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24801</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26502</v>
      </c>
      <c r="C3725" s="2" t="s">
        <v>569</v>
      </c>
      <c r="D3725" s="2" t="str">
        <f t="shared" si="57"/>
        <v>Error?</v>
      </c>
    </row>
    <row r="3726" spans="1:4" x14ac:dyDescent="0.2">
      <c r="A3726" s="5">
        <v>3665</v>
      </c>
      <c r="B3726" s="1831">
        <f>'Tax Sched 23'!D13</f>
        <v>23007</v>
      </c>
      <c r="C3726" s="2" t="s">
        <v>569</v>
      </c>
      <c r="D3726" s="2" t="str">
        <f t="shared" si="57"/>
        <v>Error?</v>
      </c>
    </row>
    <row r="3727" spans="1:4" x14ac:dyDescent="0.2">
      <c r="A3727" s="5">
        <v>3666</v>
      </c>
      <c r="B3727" s="1831">
        <f>'Tax Sched 23'!C13</f>
        <v>3495</v>
      </c>
      <c r="D3727" s="2" t="str">
        <f t="shared" si="57"/>
        <v>Error?</v>
      </c>
    </row>
    <row r="3728" spans="1:4" x14ac:dyDescent="0.2">
      <c r="A3728" s="5">
        <v>3667</v>
      </c>
      <c r="B3728" s="1831">
        <f>'Tax Sched 23'!F13</f>
        <v>24150</v>
      </c>
      <c r="C3728" s="2" t="s">
        <v>569</v>
      </c>
      <c r="D3728" s="2" t="str">
        <f t="shared" si="57"/>
        <v>Error?</v>
      </c>
    </row>
    <row r="3729" spans="1:4" x14ac:dyDescent="0.2">
      <c r="A3729" s="5">
        <v>3668</v>
      </c>
      <c r="B3729" s="1831">
        <f>'Tax Sched 23'!E13</f>
        <v>27645</v>
      </c>
      <c r="D3729" s="2" t="str">
        <f t="shared" si="57"/>
        <v>Error?</v>
      </c>
    </row>
    <row r="3730" spans="1:4" x14ac:dyDescent="0.2">
      <c r="A3730" s="5">
        <v>3669</v>
      </c>
      <c r="B3730" s="1831">
        <f>'ICR Computation 30'!E10</f>
        <v>55049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1253316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4273058</v>
      </c>
      <c r="C4122" s="2" t="s">
        <v>569</v>
      </c>
      <c r="D4122" s="2" t="str">
        <f t="shared" si="63"/>
        <v>Error?</v>
      </c>
    </row>
    <row r="4123" spans="1:4" x14ac:dyDescent="0.2">
      <c r="A4123" s="5">
        <v>4062</v>
      </c>
      <c r="B4123" s="1831">
        <f>'Acct Summary 7-8'!D10</f>
        <v>292186</v>
      </c>
      <c r="C4123" s="2" t="s">
        <v>569</v>
      </c>
      <c r="D4123" s="2" t="str">
        <f t="shared" si="63"/>
        <v>Error?</v>
      </c>
    </row>
    <row r="4124" spans="1:4" x14ac:dyDescent="0.2">
      <c r="A4124" s="5">
        <v>4063</v>
      </c>
      <c r="B4124" s="1831">
        <f>'Acct Summary 7-8'!E10</f>
        <v>229632</v>
      </c>
      <c r="C4124" s="2" t="s">
        <v>569</v>
      </c>
      <c r="D4124" s="2" t="str">
        <f t="shared" si="63"/>
        <v>Error?</v>
      </c>
    </row>
    <row r="4125" spans="1:4" x14ac:dyDescent="0.2">
      <c r="A4125" s="5">
        <v>4064</v>
      </c>
      <c r="B4125" s="1831">
        <f>'Acct Summary 7-8'!F10</f>
        <v>254093</v>
      </c>
      <c r="C4125" s="2" t="s">
        <v>569</v>
      </c>
      <c r="D4125" s="2" t="str">
        <f t="shared" si="63"/>
        <v>Error?</v>
      </c>
    </row>
    <row r="4126" spans="1:4" x14ac:dyDescent="0.2">
      <c r="A4126" s="5">
        <v>4065</v>
      </c>
      <c r="B4126" s="1831">
        <f>'Acct Summary 7-8'!G10</f>
        <v>122498</v>
      </c>
      <c r="C4126" s="2" t="s">
        <v>569</v>
      </c>
      <c r="D4126" s="2" t="str">
        <f t="shared" si="63"/>
        <v>Error?</v>
      </c>
    </row>
    <row r="4127" spans="1:4" x14ac:dyDescent="0.2">
      <c r="A4127" s="5">
        <v>4066</v>
      </c>
      <c r="B4127" s="1831">
        <f>'Acct Summary 7-8'!H10</f>
        <v>110000</v>
      </c>
      <c r="C4127" s="2" t="s">
        <v>569</v>
      </c>
      <c r="D4127" s="2" t="str">
        <f t="shared" si="63"/>
        <v>Error?</v>
      </c>
    </row>
    <row r="4128" spans="1:4" x14ac:dyDescent="0.2">
      <c r="A4128" s="5">
        <v>4067</v>
      </c>
      <c r="B4128" s="1831">
        <f>'Acct Summary 7-8'!I10</f>
        <v>33414</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26498</v>
      </c>
      <c r="C4130" s="2" t="s">
        <v>569</v>
      </c>
      <c r="D4130" s="2" t="str">
        <f t="shared" si="63"/>
        <v>Error?</v>
      </c>
    </row>
    <row r="4131" spans="1:4" x14ac:dyDescent="0.2">
      <c r="A4131" s="5">
        <v>4070</v>
      </c>
      <c r="B4131" s="1831">
        <f>'Acct Summary 7-8'!C18</f>
        <v>1253316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3987218</v>
      </c>
      <c r="C4136" s="2" t="s">
        <v>569</v>
      </c>
      <c r="D4136" s="2" t="str">
        <f t="shared" si="63"/>
        <v>Error?</v>
      </c>
    </row>
    <row r="4137" spans="1:4" x14ac:dyDescent="0.2">
      <c r="A4137" s="5">
        <v>4076</v>
      </c>
      <c r="B4137" s="1831">
        <f>'Acct Summary 7-8'!D19</f>
        <v>282258</v>
      </c>
      <c r="C4137" s="2" t="s">
        <v>569</v>
      </c>
      <c r="D4137" s="2" t="str">
        <f t="shared" si="63"/>
        <v>Error?</v>
      </c>
    </row>
    <row r="4138" spans="1:4" x14ac:dyDescent="0.2">
      <c r="A4138" s="5">
        <v>4077</v>
      </c>
      <c r="B4138" s="1831">
        <f>'Acct Summary 7-8'!E19</f>
        <v>226815</v>
      </c>
      <c r="C4138" s="2" t="s">
        <v>569</v>
      </c>
      <c r="D4138" s="2" t="str">
        <f t="shared" si="63"/>
        <v>Error?</v>
      </c>
    </row>
    <row r="4139" spans="1:4" x14ac:dyDescent="0.2">
      <c r="A4139" s="5">
        <v>4078</v>
      </c>
      <c r="B4139" s="1831">
        <f>'Acct Summary 7-8'!F19</f>
        <v>262031</v>
      </c>
      <c r="C4139" s="2" t="s">
        <v>569</v>
      </c>
      <c r="D4139" s="2" t="str">
        <f t="shared" si="63"/>
        <v>Error?</v>
      </c>
    </row>
    <row r="4140" spans="1:4" x14ac:dyDescent="0.2">
      <c r="A4140" s="5">
        <v>4079</v>
      </c>
      <c r="B4140" s="1831">
        <f>'Acct Summary 7-8'!G19</f>
        <v>112352</v>
      </c>
      <c r="C4140" s="2" t="s">
        <v>569</v>
      </c>
      <c r="D4140" s="2" t="str">
        <f t="shared" si="63"/>
        <v>Error?</v>
      </c>
    </row>
    <row r="4141" spans="1:4" x14ac:dyDescent="0.2">
      <c r="A4141" s="5">
        <v>4080</v>
      </c>
      <c r="B4141" s="1831">
        <f>'Acct Summary 7-8'!H19</f>
        <v>84510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1697</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1575000</v>
      </c>
      <c r="C4171" s="2" t="s">
        <v>569</v>
      </c>
      <c r="D4171" s="2" t="str">
        <f t="shared" si="64"/>
        <v>Error?</v>
      </c>
    </row>
    <row r="4172" spans="1:4" x14ac:dyDescent="0.2">
      <c r="A4172" s="5">
        <v>4111</v>
      </c>
      <c r="B4172" s="1831">
        <f>'Short-Term Long-Term Debt 24'!J49</f>
        <v>1488098</v>
      </c>
      <c r="C4172" s="2" t="s">
        <v>569</v>
      </c>
      <c r="D4172" s="2" t="str">
        <f t="shared" si="64"/>
        <v>Error?</v>
      </c>
    </row>
    <row r="4173" spans="1:4" x14ac:dyDescent="0.2">
      <c r="A4173" s="5">
        <v>4112</v>
      </c>
      <c r="B4173" s="1831">
        <f>'Short-Term Long-Term Debt 24'!H49</f>
        <v>185000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4000</v>
      </c>
      <c r="C4265" s="2" t="s">
        <v>569</v>
      </c>
      <c r="D4265" s="2" t="str">
        <f t="shared" si="65"/>
        <v>Error?</v>
      </c>
      <c r="E4265" s="125"/>
    </row>
    <row r="4266" spans="1:5" x14ac:dyDescent="0.2">
      <c r="A4266" s="12">
        <v>4205</v>
      </c>
      <c r="B4266" s="1831">
        <f>('FP Info 3'!F10)*100000</f>
        <v>500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4700</v>
      </c>
      <c r="C4268" s="2" t="s">
        <v>569</v>
      </c>
      <c r="D4268" s="2" t="str">
        <f t="shared" si="65"/>
        <v>Error?</v>
      </c>
    </row>
    <row r="4269" spans="1:5" x14ac:dyDescent="0.2">
      <c r="A4269" s="12">
        <v>4208</v>
      </c>
      <c r="B4269" s="1831">
        <f>'FP Info 3'!J16</f>
        <v>3255906</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4227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2761</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10596</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4522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21768</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55289094</v>
      </c>
      <c r="D4995" s="2" t="str">
        <f t="shared" si="77"/>
        <v>Error?</v>
      </c>
    </row>
    <row r="4996" spans="1:4" x14ac:dyDescent="0.2">
      <c r="A4996" s="12">
        <v>4935</v>
      </c>
      <c r="B4996" s="1831">
        <f>'FP Info 3'!H31</f>
        <v>7629894.972000001</v>
      </c>
      <c r="D4996" s="2" t="str">
        <f t="shared" si="77"/>
        <v>Error?</v>
      </c>
    </row>
    <row r="4997" spans="1:4" x14ac:dyDescent="0.2">
      <c r="A4997" s="12">
        <v>4936</v>
      </c>
      <c r="B4997" s="1831">
        <f>'FP Info 3'!H37</f>
        <v>1575000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26502</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2120144</v>
      </c>
      <c r="D5061" s="2" t="str">
        <f t="shared" si="78"/>
        <v>Error?</v>
      </c>
    </row>
    <row r="5062" spans="1:4" x14ac:dyDescent="0.2">
      <c r="A5062" s="10">
        <v>5001</v>
      </c>
      <c r="B5062" s="1831"/>
      <c r="D5062" s="2" t="str">
        <f t="shared" si="78"/>
        <v>OK</v>
      </c>
    </row>
    <row r="5063" spans="1:4" x14ac:dyDescent="0.2">
      <c r="A5063" s="5">
        <v>5002</v>
      </c>
      <c r="B5063" s="1831">
        <f>'Revenues 9-14'!C7</f>
        <v>21202</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2167848</v>
      </c>
      <c r="C5066" s="2" t="s">
        <v>569</v>
      </c>
      <c r="D5066" s="2" t="str">
        <f t="shared" si="78"/>
        <v>Error?</v>
      </c>
    </row>
    <row r="5067" spans="1:4" x14ac:dyDescent="0.2">
      <c r="A5067" s="5">
        <v>5006</v>
      </c>
      <c r="B5067" s="1831">
        <f>'Revenues 9-14'!C14</f>
        <v>112</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72046</v>
      </c>
      <c r="D5069" s="2" t="str">
        <f t="shared" si="78"/>
        <v>Error?</v>
      </c>
    </row>
    <row r="5070" spans="1:4" x14ac:dyDescent="0.2">
      <c r="A5070" s="5">
        <v>5009</v>
      </c>
      <c r="B5070" s="1831">
        <f>'Revenues 9-14'!C17</f>
        <v>293</v>
      </c>
      <c r="D5070" s="2" t="str">
        <f t="shared" si="78"/>
        <v>Error?</v>
      </c>
    </row>
    <row r="5071" spans="1:4" x14ac:dyDescent="0.2">
      <c r="A5071" s="5">
        <v>5010</v>
      </c>
      <c r="B5071" s="1831">
        <f>'Revenues 9-14'!C18</f>
        <v>72451</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12174</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12174</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27596</v>
      </c>
      <c r="C5096" s="2" t="s">
        <v>569</v>
      </c>
      <c r="D5096" s="2" t="str">
        <f t="shared" si="78"/>
        <v>Error?</v>
      </c>
    </row>
    <row r="5097" spans="1:4" x14ac:dyDescent="0.2">
      <c r="A5097" s="5">
        <v>5036</v>
      </c>
      <c r="B5097" s="1831">
        <f>'Revenues 9-14'!C77</f>
        <v>4221</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27578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15708</v>
      </c>
      <c r="D5101" s="2" t="str">
        <f t="shared" si="78"/>
        <v>Error?</v>
      </c>
    </row>
    <row r="5102" spans="1:4" x14ac:dyDescent="0.2">
      <c r="A5102" s="5">
        <v>5041</v>
      </c>
      <c r="B5102" s="1831">
        <f>'Revenues 9-14'!C82</f>
        <v>47507</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220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220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295</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842</v>
      </c>
      <c r="D5119" s="2" t="str">
        <f t="shared" ref="D5119:D5182" si="79">IF(ISBLANK(B5119),"OK",IF(A5119-B5119=0,"OK","Error?"))</f>
        <v>Error?</v>
      </c>
    </row>
    <row r="5120" spans="1:4" x14ac:dyDescent="0.2">
      <c r="A5120" s="5">
        <v>5059</v>
      </c>
      <c r="B5120" s="1831">
        <f>'Revenues 9-14'!C108</f>
        <v>2914</v>
      </c>
      <c r="C5120" s="2" t="s">
        <v>569</v>
      </c>
      <c r="D5120" s="2" t="str">
        <f t="shared" si="79"/>
        <v>Error?</v>
      </c>
    </row>
    <row r="5121" spans="1:4" x14ac:dyDescent="0.2">
      <c r="A5121" s="5">
        <v>5060</v>
      </c>
      <c r="B5121" s="1831">
        <f>'Revenues 9-14'!C109</f>
        <v>2330710</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345311</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345311</v>
      </c>
      <c r="C5132" s="2" t="s">
        <v>569</v>
      </c>
      <c r="D5132" s="2" t="str">
        <f t="shared" si="79"/>
        <v>Error?</v>
      </c>
    </row>
    <row r="5133" spans="1:4" x14ac:dyDescent="0.2">
      <c r="A5133" s="5">
        <v>5072</v>
      </c>
      <c r="B5133" s="1831">
        <f>'Revenues 9-14'!C125</f>
        <v>39604</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39604</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1366</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1366</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691</v>
      </c>
      <c r="D5167" s="2" t="str">
        <f t="shared" si="79"/>
        <v>Error?</v>
      </c>
    </row>
    <row r="5168" spans="1:4" x14ac:dyDescent="0.2">
      <c r="A5168" s="5">
        <v>5107</v>
      </c>
      <c r="B5168" s="1831">
        <f>'Revenues 9-14'!C148</f>
        <v>2332</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44743</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390054</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21768</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35696</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13304</v>
      </c>
      <c r="D5241" s="2" t="str">
        <f t="shared" si="80"/>
        <v>Error?</v>
      </c>
    </row>
    <row r="5242" spans="1:4" x14ac:dyDescent="0.2">
      <c r="A5242" s="5">
        <v>5181</v>
      </c>
      <c r="B5242" s="1831">
        <f>'Revenues 9-14'!C194</f>
        <v>36528</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85528</v>
      </c>
      <c r="C5246" s="2" t="s">
        <v>569</v>
      </c>
      <c r="D5246" s="2" t="str">
        <f t="shared" si="80"/>
        <v>Error?</v>
      </c>
    </row>
    <row r="5247" spans="1:4" x14ac:dyDescent="0.2">
      <c r="A5247" s="5">
        <v>5186</v>
      </c>
      <c r="B5247" s="1831">
        <f>'Revenues 9-14'!C200</f>
        <v>46231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10596</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46231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1069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122276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123345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277210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298978</v>
      </c>
      <c r="C5326" s="2" t="s">
        <v>569</v>
      </c>
      <c r="D5326" s="2" t="str">
        <f t="shared" si="82"/>
        <v>Error?</v>
      </c>
    </row>
    <row r="5327" spans="1:5" x14ac:dyDescent="0.2">
      <c r="A5327" s="5">
        <v>5266</v>
      </c>
      <c r="B5327" s="1831">
        <f>'Revenues 9-14'!C268</f>
        <v>3019742</v>
      </c>
      <c r="C5327" s="2" t="s">
        <v>569</v>
      </c>
      <c r="D5327" s="2" t="str">
        <f t="shared" si="82"/>
        <v>Error?</v>
      </c>
    </row>
    <row r="5328" spans="1:5" x14ac:dyDescent="0.2">
      <c r="A5328" s="5">
        <v>5267</v>
      </c>
      <c r="B5328" s="1831">
        <f>'Revenues 9-14'!D5</f>
        <v>265017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265017</v>
      </c>
      <c r="C5334" s="2" t="s">
        <v>569</v>
      </c>
      <c r="D5334" s="2" t="str">
        <f t="shared" si="82"/>
        <v>Error?</v>
      </c>
    </row>
    <row r="5335" spans="1:4" x14ac:dyDescent="0.2">
      <c r="A5335" s="5">
        <v>5274</v>
      </c>
      <c r="B5335" s="1831">
        <f>'Revenues 9-14'!D14</f>
        <v>14</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35</v>
      </c>
      <c r="D5338" s="2" t="str">
        <f t="shared" si="82"/>
        <v>Error?</v>
      </c>
    </row>
    <row r="5339" spans="1:4" x14ac:dyDescent="0.2">
      <c r="A5339" s="5">
        <v>5278</v>
      </c>
      <c r="B5339" s="1831">
        <f>'Revenues 9-14'!D18</f>
        <v>49</v>
      </c>
      <c r="C5339" s="2" t="s">
        <v>569</v>
      </c>
      <c r="D5339" s="2" t="str">
        <f t="shared" si="82"/>
        <v>Error?</v>
      </c>
    </row>
    <row r="5340" spans="1:4" x14ac:dyDescent="0.2">
      <c r="A5340" s="5">
        <v>5279</v>
      </c>
      <c r="B5340" s="1831">
        <f>'Revenues 9-14'!D65</f>
        <v>2968</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2968</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12000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11400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752</v>
      </c>
      <c r="D5354" s="2" t="str">
        <f t="shared" si="82"/>
        <v>Error?</v>
      </c>
    </row>
    <row r="5355" spans="1:4" x14ac:dyDescent="0.2">
      <c r="A5355" s="5">
        <v>5294</v>
      </c>
      <c r="B5355" s="1831">
        <f>'Revenues 9-14'!D108</f>
        <v>24152</v>
      </c>
      <c r="C5355" s="2" t="s">
        <v>569</v>
      </c>
      <c r="D5355" s="2" t="str">
        <f t="shared" si="82"/>
        <v>Error?</v>
      </c>
    </row>
    <row r="5356" spans="1:4" x14ac:dyDescent="0.2">
      <c r="A5356" s="5">
        <v>5295</v>
      </c>
      <c r="B5356" s="1831">
        <f>'Revenues 9-14'!D109</f>
        <v>292186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292186</v>
      </c>
      <c r="C5508" s="2" t="s">
        <v>569</v>
      </c>
      <c r="D5508" s="2" t="str">
        <f t="shared" si="85"/>
        <v>Error?</v>
      </c>
    </row>
    <row r="5509" spans="1:4" x14ac:dyDescent="0.2">
      <c r="A5509" s="5">
        <v>5448</v>
      </c>
      <c r="B5509" s="1831">
        <f>'Revenues 9-14'!E5</f>
        <v>227393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227393</v>
      </c>
      <c r="C5513" s="2" t="s">
        <v>569</v>
      </c>
      <c r="D5513" s="2" t="str">
        <f t="shared" si="85"/>
        <v>Error?</v>
      </c>
    </row>
    <row r="5514" spans="1:4" x14ac:dyDescent="0.2">
      <c r="A5514" s="5">
        <v>5453</v>
      </c>
      <c r="B5514" s="1831">
        <f>'Revenues 9-14'!E14</f>
        <v>12</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31</v>
      </c>
      <c r="D5517" s="2" t="str">
        <f t="shared" si="85"/>
        <v>Error?</v>
      </c>
    </row>
    <row r="5518" spans="1:4" x14ac:dyDescent="0.2">
      <c r="A5518" s="5">
        <v>5457</v>
      </c>
      <c r="B5518" s="1831">
        <f>'Revenues 9-14'!E18</f>
        <v>43</v>
      </c>
      <c r="C5518" s="2" t="s">
        <v>569</v>
      </c>
      <c r="D5518" s="2" t="str">
        <f t="shared" si="85"/>
        <v>Error?</v>
      </c>
    </row>
    <row r="5519" spans="1:4" x14ac:dyDescent="0.2">
      <c r="A5519" s="5">
        <v>5458</v>
      </c>
      <c r="B5519" s="1831">
        <f>'Revenues 9-14'!E65</f>
        <v>2196</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2196</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229632</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229632</v>
      </c>
      <c r="C5552" s="2" t="s">
        <v>569</v>
      </c>
      <c r="D5552" s="2" t="str">
        <f t="shared" si="85"/>
        <v>Error?</v>
      </c>
    </row>
    <row r="5553" spans="1:4" x14ac:dyDescent="0.2">
      <c r="A5553" s="5">
        <v>5492</v>
      </c>
      <c r="B5553" s="1831">
        <f>'Revenues 9-14'!F5</f>
        <v>106007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106007</v>
      </c>
      <c r="C5557" s="2" t="s">
        <v>569</v>
      </c>
      <c r="D5557" s="2" t="str">
        <f t="shared" si="85"/>
        <v>Error?</v>
      </c>
    </row>
    <row r="5558" spans="1:4" x14ac:dyDescent="0.2">
      <c r="A5558" s="5">
        <v>5497</v>
      </c>
      <c r="B5558" s="1831">
        <f>'Revenues 9-14'!F14</f>
        <v>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14</v>
      </c>
      <c r="D5561" s="2" t="str">
        <f t="shared" si="85"/>
        <v>Error?</v>
      </c>
    </row>
    <row r="5562" spans="1:4" x14ac:dyDescent="0.2">
      <c r="A5562" s="5">
        <v>5501</v>
      </c>
      <c r="B5562" s="1831">
        <f>'Revenues 9-14'!F18</f>
        <v>19</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2962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2962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108988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73964</v>
      </c>
      <c r="D5615" s="2" t="str">
        <f t="shared" si="86"/>
        <v>Error?</v>
      </c>
    </row>
    <row r="5616" spans="1:4" x14ac:dyDescent="0.2">
      <c r="A5616" s="10">
        <v>5555</v>
      </c>
      <c r="B5616" s="1831"/>
      <c r="D5616" s="2" t="str">
        <f t="shared" si="86"/>
        <v>OK</v>
      </c>
    </row>
    <row r="5617" spans="1:5" x14ac:dyDescent="0.2">
      <c r="A5617" s="5">
        <v>5556</v>
      </c>
      <c r="B5617" s="1831">
        <f>'Revenues 9-14'!F153</f>
        <v>71141</v>
      </c>
      <c r="D5617" s="2" t="str">
        <f t="shared" si="86"/>
        <v>Error?</v>
      </c>
    </row>
    <row r="5618" spans="1:5" x14ac:dyDescent="0.2">
      <c r="A5618" s="5">
        <v>5557</v>
      </c>
      <c r="B5618" s="1831">
        <f>'Revenues 9-14'!F155</f>
        <v>145105</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145105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145105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254093</v>
      </c>
      <c r="C5720" s="2" t="s">
        <v>569</v>
      </c>
      <c r="D5720" s="2" t="str">
        <f t="shared" si="88"/>
        <v>Error?</v>
      </c>
    </row>
    <row r="5721" spans="1:4" x14ac:dyDescent="0.2">
      <c r="A5721" s="5">
        <v>5660</v>
      </c>
      <c r="B5721" s="1831">
        <f>'Revenues 9-14'!G5</f>
        <v>44858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65980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110838</v>
      </c>
      <c r="C5725" s="2" t="s">
        <v>569</v>
      </c>
      <c r="D5725" s="2" t="str">
        <f t="shared" si="88"/>
        <v>Error?</v>
      </c>
    </row>
    <row r="5726" spans="1:4" x14ac:dyDescent="0.2">
      <c r="A5726" s="5">
        <v>5665</v>
      </c>
      <c r="B5726" s="1831">
        <f>'Revenues 9-14'!G14</f>
        <v>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10000</v>
      </c>
      <c r="D5728" s="2" t="str">
        <f t="shared" si="88"/>
        <v>Error?</v>
      </c>
    </row>
    <row r="5729" spans="1:4" x14ac:dyDescent="0.2">
      <c r="A5729" s="5">
        <v>5668</v>
      </c>
      <c r="B5729" s="1831">
        <f>'Revenues 9-14'!G17</f>
        <v>15</v>
      </c>
      <c r="D5729" s="2" t="str">
        <f t="shared" si="88"/>
        <v>Error?</v>
      </c>
    </row>
    <row r="5730" spans="1:4" x14ac:dyDescent="0.2">
      <c r="A5730" s="5">
        <v>5669</v>
      </c>
      <c r="B5730" s="1831">
        <f>'Revenues 9-14'!G18</f>
        <v>10021</v>
      </c>
      <c r="C5730" s="2" t="s">
        <v>569</v>
      </c>
      <c r="D5730" s="2" t="str">
        <f t="shared" si="88"/>
        <v>Error?</v>
      </c>
    </row>
    <row r="5731" spans="1:4" x14ac:dyDescent="0.2">
      <c r="A5731" s="5">
        <v>5670</v>
      </c>
      <c r="B5731" s="1831">
        <f>'Revenues 9-14'!G65</f>
        <v>1639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1639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122498</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60000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60000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50000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50000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110000</v>
      </c>
      <c r="C5915" s="2" t="s">
        <v>569</v>
      </c>
      <c r="D5915" s="2" t="str">
        <f t="shared" si="91"/>
        <v>Error?</v>
      </c>
    </row>
    <row r="5916" spans="1:4" x14ac:dyDescent="0.2">
      <c r="A5916" s="5">
        <v>5855</v>
      </c>
      <c r="B5916" s="1831">
        <f>'Revenues 9-14'!I5</f>
        <v>26502</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26502</v>
      </c>
      <c r="C5918" s="2" t="s">
        <v>569</v>
      </c>
      <c r="D5918" s="2" t="str">
        <f t="shared" si="91"/>
        <v>Error?</v>
      </c>
    </row>
    <row r="5919" spans="1:4" x14ac:dyDescent="0.2">
      <c r="A5919" s="5">
        <v>5858</v>
      </c>
      <c r="B5919" s="1831">
        <f>'Revenues 9-14'!I14</f>
        <v>1</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4</v>
      </c>
      <c r="D5922" s="2" t="str">
        <f t="shared" si="91"/>
        <v>Error?</v>
      </c>
    </row>
    <row r="5923" spans="1:4" x14ac:dyDescent="0.2">
      <c r="A5923" s="5">
        <v>5862</v>
      </c>
      <c r="B5923" s="1831">
        <f>'Revenues 9-14'!I18</f>
        <v>5</v>
      </c>
      <c r="C5923" s="2" t="s">
        <v>569</v>
      </c>
      <c r="D5923" s="2" t="str">
        <f t="shared" si="91"/>
        <v>Error?</v>
      </c>
    </row>
    <row r="5924" spans="1:4" x14ac:dyDescent="0.2">
      <c r="A5924" s="5">
        <v>5863</v>
      </c>
      <c r="B5924" s="1831">
        <f>'Revenues 9-14'!I65</f>
        <v>6907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6907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33414</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26498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26498</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26498</v>
      </c>
      <c r="C6023" s="2" t="s">
        <v>569</v>
      </c>
      <c r="D6023" s="2" t="str">
        <f t="shared" si="93"/>
        <v>Error?</v>
      </c>
    </row>
    <row r="6024" spans="1:5" x14ac:dyDescent="0.2">
      <c r="A6024" s="5">
        <v>5963</v>
      </c>
      <c r="B6024" s="1831">
        <f>'Revenues 9-14'!G109</f>
        <v>122498</v>
      </c>
      <c r="C6024" s="2" t="s">
        <v>569</v>
      </c>
      <c r="D6024" s="2" t="str">
        <f t="shared" si="93"/>
        <v>Error?</v>
      </c>
    </row>
    <row r="6025" spans="1:5" x14ac:dyDescent="0.2">
      <c r="A6025" s="5">
        <v>5964</v>
      </c>
      <c r="B6025" s="1831">
        <f>'Revenues 9-14'!H109</f>
        <v>60000</v>
      </c>
      <c r="C6025" s="2" t="s">
        <v>569</v>
      </c>
      <c r="D6025" s="2" t="str">
        <f t="shared" si="93"/>
        <v>Error?</v>
      </c>
    </row>
    <row r="6026" spans="1:5" x14ac:dyDescent="0.2">
      <c r="A6026" s="5">
        <v>5965</v>
      </c>
      <c r="B6026" s="1831">
        <f>'Revenues 9-14'!I109</f>
        <v>33414</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26498</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27596</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10790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238.8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105537</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105537</v>
      </c>
      <c r="D6215" s="2" t="str">
        <f t="shared" si="96"/>
        <v>Error?</v>
      </c>
      <c r="E6215" s="2" t="s">
        <v>189</v>
      </c>
    </row>
    <row r="6216" spans="1:5" x14ac:dyDescent="0.2">
      <c r="A6216">
        <v>6155</v>
      </c>
      <c r="B6216" s="1831">
        <f>'Assets-Liab 5-6'!J41</f>
        <v>105537</v>
      </c>
      <c r="D6216" s="2" t="str">
        <f t="shared" si="96"/>
        <v>Error?</v>
      </c>
      <c r="E6216" s="2" t="s">
        <v>189</v>
      </c>
    </row>
    <row r="6217" spans="1:5" x14ac:dyDescent="0.2">
      <c r="A6217">
        <v>6156</v>
      </c>
      <c r="B6217" s="1831">
        <f>'Assets-Liab 5-6'!J4</f>
        <v>105537</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256532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256532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256532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207779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207779</v>
      </c>
      <c r="D6229" s="2" t="str">
        <f t="shared" si="96"/>
        <v>Error?</v>
      </c>
      <c r="E6229" s="2" t="s">
        <v>189</v>
      </c>
    </row>
    <row r="6230" spans="1:5" x14ac:dyDescent="0.2">
      <c r="A6230">
        <v>6169</v>
      </c>
      <c r="B6230" s="1831">
        <f>'Acct Summary 7-8'!J20</f>
        <v>48753</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48753</v>
      </c>
      <c r="D6263" s="2" t="str">
        <f t="shared" si="96"/>
        <v>Error?</v>
      </c>
      <c r="E6263" s="2" t="s">
        <v>189</v>
      </c>
    </row>
    <row r="6264" spans="1:5" x14ac:dyDescent="0.2">
      <c r="A6264">
        <v>6203</v>
      </c>
      <c r="B6264" s="1831">
        <f>'Acct Summary 7-8'!J79</f>
        <v>56784</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105537</v>
      </c>
      <c r="D6266" s="2" t="str">
        <f t="shared" si="96"/>
        <v>Error?</v>
      </c>
      <c r="E6266" s="2" t="s">
        <v>189</v>
      </c>
    </row>
    <row r="6267" spans="1:5" x14ac:dyDescent="0.2">
      <c r="A6267">
        <v>6206</v>
      </c>
      <c r="B6267" s="1831">
        <f>'Acct Summary 7-8'!C82</f>
        <v>285840</v>
      </c>
      <c r="D6267" s="2" t="str">
        <f t="shared" si="96"/>
        <v>Error?</v>
      </c>
      <c r="E6267" s="2" t="s">
        <v>189</v>
      </c>
    </row>
    <row r="6268" spans="1:5" x14ac:dyDescent="0.2">
      <c r="A6268">
        <v>6207</v>
      </c>
      <c r="B6268" s="1831">
        <f>'Acct Summary 7-8'!D82</f>
        <v>9928</v>
      </c>
      <c r="D6268" s="2" t="str">
        <f t="shared" si="96"/>
        <v>Error?</v>
      </c>
      <c r="E6268" s="2" t="s">
        <v>189</v>
      </c>
    </row>
    <row r="6269" spans="1:5" x14ac:dyDescent="0.2">
      <c r="A6269">
        <v>6208</v>
      </c>
      <c r="B6269" s="1831">
        <f>'Acct Summary 7-8'!E82</f>
        <v>2817</v>
      </c>
      <c r="D6269" s="2" t="str">
        <f t="shared" si="96"/>
        <v>Error?</v>
      </c>
      <c r="E6269" s="2" t="s">
        <v>189</v>
      </c>
    </row>
    <row r="6270" spans="1:5" x14ac:dyDescent="0.2">
      <c r="A6270">
        <v>6209</v>
      </c>
      <c r="B6270" s="1831">
        <f>'Acct Summary 7-8'!F82</f>
        <v>-7938</v>
      </c>
      <c r="D6270" s="2" t="str">
        <f t="shared" si="96"/>
        <v>Error?</v>
      </c>
      <c r="E6270" s="2" t="s">
        <v>189</v>
      </c>
    </row>
    <row r="6271" spans="1:5" x14ac:dyDescent="0.2">
      <c r="A6271">
        <v>6210</v>
      </c>
      <c r="B6271" s="1831">
        <f>'Acct Summary 7-8'!G82</f>
        <v>10146</v>
      </c>
      <c r="D6271" s="2" t="str">
        <f t="shared" ref="D6271:D6334" si="97">IF(ISBLANK(B6271),"OK",IF(A6271-B6271=0,"OK","Error?"))</f>
        <v>Error?</v>
      </c>
      <c r="E6271" s="2" t="s">
        <v>189</v>
      </c>
    </row>
    <row r="6272" spans="1:5" x14ac:dyDescent="0.2">
      <c r="A6272">
        <v>6211</v>
      </c>
      <c r="B6272" s="1831">
        <f>'Acct Summary 7-8'!H82</f>
        <v>58490</v>
      </c>
      <c r="D6272" s="2" t="str">
        <f t="shared" si="97"/>
        <v>Error?</v>
      </c>
      <c r="E6272" s="2" t="s">
        <v>189</v>
      </c>
    </row>
    <row r="6273" spans="1:5" x14ac:dyDescent="0.2">
      <c r="A6273">
        <v>6212</v>
      </c>
      <c r="B6273" s="1831">
        <f>'Acct Summary 7-8'!I82</f>
        <v>414</v>
      </c>
      <c r="D6273" s="2" t="str">
        <f t="shared" si="97"/>
        <v>Error?</v>
      </c>
      <c r="E6273" s="2" t="s">
        <v>189</v>
      </c>
    </row>
    <row r="6274" spans="1:5" x14ac:dyDescent="0.2">
      <c r="A6274">
        <v>6213</v>
      </c>
      <c r="B6274" s="1831">
        <f>'Acct Summary 7-8'!J82</f>
        <v>48753</v>
      </c>
      <c r="D6274" s="2" t="str">
        <f t="shared" si="97"/>
        <v>Error?</v>
      </c>
      <c r="E6274" s="2" t="s">
        <v>189</v>
      </c>
    </row>
    <row r="6275" spans="1:5" x14ac:dyDescent="0.2">
      <c r="A6275">
        <v>6214</v>
      </c>
      <c r="B6275" s="1831">
        <f>'Acct Summary 7-8'!K82</f>
        <v>24801</v>
      </c>
      <c r="D6275" s="2" t="str">
        <f t="shared" si="97"/>
        <v>Error?</v>
      </c>
      <c r="E6275" s="2" t="s">
        <v>189</v>
      </c>
    </row>
    <row r="6276" spans="1:5" x14ac:dyDescent="0.2">
      <c r="A6276">
        <v>6215</v>
      </c>
      <c r="B6276" s="1831">
        <f>'Acct Summary 7-8'!C83</f>
        <v>0.2220173410269933</v>
      </c>
      <c r="D6276" s="2" t="str">
        <f t="shared" si="97"/>
        <v>Error?</v>
      </c>
      <c r="E6276" s="2" t="s">
        <v>189</v>
      </c>
    </row>
    <row r="6277" spans="1:5" x14ac:dyDescent="0.2">
      <c r="A6277">
        <v>6216</v>
      </c>
      <c r="B6277" s="1831">
        <f>'Acct Summary 7-8'!D83</f>
        <v>1.6339966095557861E-2</v>
      </c>
      <c r="D6277" s="2" t="str">
        <f t="shared" si="97"/>
        <v>Error?</v>
      </c>
      <c r="E6277" s="2" t="s">
        <v>189</v>
      </c>
    </row>
    <row r="6278" spans="1:5" x14ac:dyDescent="0.2">
      <c r="A6278">
        <v>6217</v>
      </c>
      <c r="B6278" s="1831">
        <f>'Acct Summary 7-8'!E83</f>
        <v>3.2415824722100757E-2</v>
      </c>
      <c r="D6278" s="2" t="str">
        <f t="shared" si="97"/>
        <v>Error?</v>
      </c>
      <c r="E6278" s="2" t="s">
        <v>189</v>
      </c>
    </row>
    <row r="6279" spans="1:5" x14ac:dyDescent="0.2">
      <c r="A6279">
        <v>6218</v>
      </c>
      <c r="B6279" s="1831">
        <f>'Acct Summary 7-8'!F83</f>
        <v>-1.3434972903260747E-2</v>
      </c>
      <c r="D6279" s="2" t="str">
        <f t="shared" si="97"/>
        <v>Error?</v>
      </c>
      <c r="E6279" s="2" t="s">
        <v>189</v>
      </c>
    </row>
    <row r="6280" spans="1:5" x14ac:dyDescent="0.2">
      <c r="A6280">
        <v>6219</v>
      </c>
      <c r="B6280" s="1831">
        <f>'Acct Summary 7-8'!G83</f>
        <v>4.6212497324084154E-2</v>
      </c>
      <c r="D6280" s="2" t="str">
        <f t="shared" si="97"/>
        <v>Error?</v>
      </c>
      <c r="E6280" s="2" t="s">
        <v>189</v>
      </c>
    </row>
    <row r="6281" spans="1:5" x14ac:dyDescent="0.2">
      <c r="A6281">
        <v>6220</v>
      </c>
      <c r="B6281" s="1831">
        <f>'Acct Summary 7-8'!H83</f>
        <v>0.53124914849362848</v>
      </c>
      <c r="D6281" s="2" t="str">
        <f t="shared" si="97"/>
        <v>Error?</v>
      </c>
      <c r="E6281" s="2" t="s">
        <v>189</v>
      </c>
    </row>
    <row r="6282" spans="1:5" x14ac:dyDescent="0.2">
      <c r="A6282">
        <v>6221</v>
      </c>
      <c r="B6282" s="1831">
        <f>'Acct Summary 7-8'!I83</f>
        <v>5.3766024288217056E-4</v>
      </c>
      <c r="D6282" s="2" t="str">
        <f t="shared" si="97"/>
        <v>Error?</v>
      </c>
      <c r="E6282" s="2" t="s">
        <v>189</v>
      </c>
    </row>
    <row r="6283" spans="1:5" x14ac:dyDescent="0.2">
      <c r="A6283">
        <v>6222</v>
      </c>
      <c r="B6283" s="1831">
        <f>'Acct Summary 7-8'!J83</f>
        <v>0.46195173256772504</v>
      </c>
      <c r="D6283" s="2" t="str">
        <f t="shared" si="97"/>
        <v>Error?</v>
      </c>
      <c r="E6283" s="2" t="s">
        <v>189</v>
      </c>
    </row>
    <row r="6284" spans="1:5" x14ac:dyDescent="0.2">
      <c r="A6284">
        <v>6223</v>
      </c>
      <c r="B6284" s="1831">
        <f>'Acct Summary 7-8'!K83</f>
        <v>0.66903156190990021</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256177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256177</v>
      </c>
      <c r="D6301" s="2" t="str">
        <f t="shared" si="97"/>
        <v>Error?</v>
      </c>
      <c r="E6301" s="2" t="s">
        <v>189</v>
      </c>
    </row>
    <row r="6302" spans="1:5" x14ac:dyDescent="0.2">
      <c r="A6302">
        <v>6241</v>
      </c>
      <c r="B6302" s="1831">
        <f>'Revenues 9-14'!J14</f>
        <v>13</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34</v>
      </c>
      <c r="D6305" s="2" t="str">
        <f t="shared" si="97"/>
        <v>Error?</v>
      </c>
      <c r="E6305" s="2" t="s">
        <v>189</v>
      </c>
    </row>
    <row r="6306" spans="1:5" x14ac:dyDescent="0.2">
      <c r="A6306">
        <v>6245</v>
      </c>
      <c r="B6306" s="1831">
        <f>'Revenues 9-14'!J18</f>
        <v>47</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308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308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1777</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256532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7451</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80910</v>
      </c>
      <c r="D6880" s="2" t="str">
        <f t="shared" si="106"/>
        <v>Error?</v>
      </c>
    </row>
    <row r="6881" spans="1:4" x14ac:dyDescent="0.2">
      <c r="A6881">
        <v>6820</v>
      </c>
      <c r="B6881" s="1831">
        <f>'Expenditures 15-22'!K22</f>
        <v>80910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66863</v>
      </c>
      <c r="D6983" s="2" t="str">
        <f t="shared" si="108"/>
        <v>Error?</v>
      </c>
    </row>
    <row r="6984" spans="1:4" x14ac:dyDescent="0.2">
      <c r="A6984">
        <v>6923</v>
      </c>
      <c r="B6984" s="1831">
        <f>'Expenditures 15-22'!K86</f>
        <v>66863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42462</v>
      </c>
      <c r="D6987" s="2" t="str">
        <f t="shared" si="108"/>
        <v>Error?</v>
      </c>
    </row>
    <row r="6988" spans="1:4" x14ac:dyDescent="0.2">
      <c r="A6988">
        <v>6927</v>
      </c>
      <c r="B6988" s="1831">
        <f>'Expenditures 15-22'!K88</f>
        <v>42462</v>
      </c>
      <c r="D6988" s="2" t="str">
        <f t="shared" si="108"/>
        <v>Error?</v>
      </c>
    </row>
    <row r="6989" spans="1:4" x14ac:dyDescent="0.2">
      <c r="A6989">
        <v>6928</v>
      </c>
      <c r="B6989" s="1831">
        <f>'Expenditures 15-22'!H89</f>
        <v>7020</v>
      </c>
      <c r="D6989" s="2" t="str">
        <f t="shared" si="108"/>
        <v>Error?</v>
      </c>
    </row>
    <row r="6990" spans="1:4" x14ac:dyDescent="0.2">
      <c r="A6990">
        <v>6929</v>
      </c>
      <c r="B6990" s="1831">
        <f>'Expenditures 15-22'!K89</f>
        <v>7020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116345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207779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256532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1915</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1915</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52028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52028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1940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1940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125275</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13890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139165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12731</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12731</v>
      </c>
      <c r="D7198" s="2" t="str">
        <f t="shared" si="111"/>
        <v>Error?</v>
      </c>
    </row>
    <row r="7199" spans="1:4" x14ac:dyDescent="0.2">
      <c r="A7199">
        <v>7138</v>
      </c>
      <c r="B7199" s="1831">
        <f>'Expenditures 15-22'!C330</f>
        <v>125275</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68614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13890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207779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125275</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68614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13890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207779</v>
      </c>
      <c r="D7224" s="2" t="str">
        <f t="shared" si="111"/>
        <v>Error?</v>
      </c>
    </row>
    <row r="7225" spans="1:4" x14ac:dyDescent="0.2">
      <c r="A7225">
        <v>7164</v>
      </c>
      <c r="B7225" s="1831">
        <f>'Expenditures 15-22'!K343</f>
        <v>48753</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7154</v>
      </c>
      <c r="D7263" s="2" t="str">
        <f t="shared" si="112"/>
        <v>Error?</v>
      </c>
    </row>
    <row r="7264" spans="1:4" x14ac:dyDescent="0.2">
      <c r="A7264">
        <f t="shared" si="113"/>
        <v>7203</v>
      </c>
      <c r="B7264" s="1831">
        <f>'Expenditures 15-22'!D17</f>
        <v>297</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19596</v>
      </c>
      <c r="D7615" s="2" t="str">
        <f t="shared" ref="D7615:D7678" si="124">IF(ISBLANK(B7615),"OK",IF(A7615-B7615=0,"OK","Error?"))</f>
        <v>Error?</v>
      </c>
      <c r="E7615" s="2" t="s">
        <v>19</v>
      </c>
    </row>
    <row r="7616" spans="1:5" x14ac:dyDescent="0.2">
      <c r="A7616">
        <f t="shared" si="123"/>
        <v>7555</v>
      </c>
      <c r="B7616" s="1831">
        <f>'Cap Outlay Deprec 26'!D14</f>
        <v>1780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21376</v>
      </c>
      <c r="D7618" s="2" t="str">
        <f t="shared" si="124"/>
        <v>Error?</v>
      </c>
      <c r="E7618" s="2" t="s">
        <v>19</v>
      </c>
    </row>
    <row r="7619" spans="1:5" x14ac:dyDescent="0.2">
      <c r="A7619">
        <f t="shared" si="123"/>
        <v>7558</v>
      </c>
      <c r="B7619" s="1831">
        <f>'Cap Outlay Deprec 26'!H14</f>
        <v>19596</v>
      </c>
      <c r="D7619" s="2" t="str">
        <f t="shared" si="124"/>
        <v>Error?</v>
      </c>
      <c r="E7619" s="2" t="s">
        <v>19</v>
      </c>
    </row>
    <row r="7620" spans="1:5" x14ac:dyDescent="0.2">
      <c r="A7620">
        <f t="shared" si="123"/>
        <v>7559</v>
      </c>
      <c r="B7620" s="1831">
        <f>'Cap Outlay Deprec 26'!I14</f>
        <v>593</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20189</v>
      </c>
      <c r="D7622" s="2" t="str">
        <f t="shared" si="124"/>
        <v>Error?</v>
      </c>
      <c r="E7622" s="2" t="s">
        <v>19</v>
      </c>
    </row>
    <row r="7623" spans="1:5" x14ac:dyDescent="0.2">
      <c r="A7623">
        <f t="shared" si="123"/>
        <v>7562</v>
      </c>
      <c r="B7623" s="1831">
        <f>'Cap Outlay Deprec 26'!L14</f>
        <v>1187</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250954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50000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1777</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2332</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4109</v>
      </c>
      <c r="D7719" s="2" t="str">
        <f t="shared" si="126"/>
        <v>Error?</v>
      </c>
      <c r="E7719" s="2" t="s">
        <v>822</v>
      </c>
    </row>
    <row r="7720" spans="1:6" x14ac:dyDescent="0.2">
      <c r="A7720">
        <v>7659</v>
      </c>
      <c r="B7720" s="1831">
        <f>'Rest Tax Levies-Tort Im 25'!H14</f>
        <v>21220</v>
      </c>
      <c r="D7720" s="2" t="str">
        <f t="shared" si="126"/>
        <v>Error?</v>
      </c>
      <c r="E7720" s="2" t="s">
        <v>822</v>
      </c>
    </row>
    <row r="7721" spans="1:6" x14ac:dyDescent="0.2">
      <c r="A7721">
        <v>7660</v>
      </c>
      <c r="B7721" s="1831">
        <f>'Rest Tax Levies-Tort Im 25'!K14</f>
        <v>4109</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33000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4109</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2190000</v>
      </c>
      <c r="D7817" s="2" t="str">
        <f t="shared" si="128"/>
        <v>Error?</v>
      </c>
      <c r="E7817" s="4" t="s">
        <v>1966</v>
      </c>
    </row>
    <row r="7818" spans="1:5" x14ac:dyDescent="0.2">
      <c r="A7818">
        <v>7757</v>
      </c>
      <c r="B7818" s="1831">
        <f>'PCTC-OEPP 27-28'!F172</f>
        <v>100447</v>
      </c>
      <c r="D7818" s="2" t="str">
        <f t="shared" si="128"/>
        <v>Error?</v>
      </c>
      <c r="E7818" s="4" t="s">
        <v>1980</v>
      </c>
    </row>
    <row r="7819" spans="1:5" x14ac:dyDescent="0.2">
      <c r="A7819">
        <v>7758</v>
      </c>
      <c r="B7819" s="1831">
        <f>'PCTC-OEPP 27-28'!F173</f>
        <v>116</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3825137</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580568</v>
      </c>
      <c r="D7834" s="2" t="str">
        <f t="shared" si="129"/>
        <v>Error?</v>
      </c>
      <c r="E7834" s="4" t="s">
        <v>1998</v>
      </c>
    </row>
    <row r="7835" spans="1:5" x14ac:dyDescent="0.2">
      <c r="A7835">
        <v>7774</v>
      </c>
      <c r="B7835" s="1831">
        <f>'PCTC-OEPP 27-28'!F78</f>
        <v>3244569</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13586.972361809045</v>
      </c>
      <c r="D7837" s="2" t="str">
        <f t="shared" si="129"/>
        <v>Error?</v>
      </c>
      <c r="E7837" s="4" t="s">
        <v>1998</v>
      </c>
    </row>
    <row r="7838" spans="1:5" x14ac:dyDescent="0.2">
      <c r="A7838">
        <v>7777</v>
      </c>
      <c r="B7838" s="1831">
        <f>'PCTC-OEPP 27-28'!F96</f>
        <v>47507</v>
      </c>
      <c r="D7838" s="2" t="str">
        <f t="shared" si="129"/>
        <v>Error?</v>
      </c>
      <c r="E7838" s="4" t="s">
        <v>1998</v>
      </c>
    </row>
    <row r="7839" spans="1:5" x14ac:dyDescent="0.2">
      <c r="A7839">
        <v>7778</v>
      </c>
      <c r="B7839" s="1831">
        <f>'PCTC-OEPP 27-28'!F102</f>
        <v>12000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39604</v>
      </c>
      <c r="D7842" s="2" t="str">
        <f t="shared" si="129"/>
        <v>Error?</v>
      </c>
      <c r="E7842" s="4" t="s">
        <v>1998</v>
      </c>
    </row>
    <row r="7843" spans="1:5" x14ac:dyDescent="0.2">
      <c r="A7843">
        <v>7782</v>
      </c>
      <c r="B7843" s="1831">
        <f>'PCTC-OEPP 27-28'!F107</f>
        <v>1366</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2332</v>
      </c>
      <c r="D7846" s="2" t="str">
        <f t="shared" si="129"/>
        <v>Error?</v>
      </c>
      <c r="E7846" s="4" t="s">
        <v>1998</v>
      </c>
    </row>
    <row r="7847" spans="1:5" x14ac:dyDescent="0.2">
      <c r="A7847">
        <v>7786</v>
      </c>
      <c r="B7847" s="1831">
        <f>'PCTC-OEPP 27-28'!F112</f>
        <v>145105</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750</v>
      </c>
      <c r="D7855" s="2" t="str">
        <f t="shared" si="129"/>
        <v>Error?</v>
      </c>
      <c r="E7855" s="4" t="s">
        <v>1998</v>
      </c>
    </row>
    <row r="7856" spans="1:5" x14ac:dyDescent="0.2">
      <c r="A7856">
        <v>7795</v>
      </c>
      <c r="B7856" s="1831">
        <f>'PCTC-OEPP 27-28'!F124</f>
        <v>21768</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85528</v>
      </c>
      <c r="D7858" s="2" t="str">
        <f t="shared" si="129"/>
        <v>Error?</v>
      </c>
      <c r="E7858" s="4" t="s">
        <v>1998</v>
      </c>
    </row>
    <row r="7859" spans="1:5" x14ac:dyDescent="0.2">
      <c r="A7859">
        <v>7798</v>
      </c>
      <c r="B7859" s="1831">
        <f>'PCTC-OEPP 27-28'!F127</f>
        <v>46231</v>
      </c>
      <c r="D7859" s="2" t="str">
        <f t="shared" si="129"/>
        <v>Error?</v>
      </c>
      <c r="E7859" s="4" t="s">
        <v>1998</v>
      </c>
    </row>
    <row r="7860" spans="1:5" x14ac:dyDescent="0.2">
      <c r="A7860">
        <v>7799</v>
      </c>
      <c r="B7860" s="1831">
        <f>'PCTC-OEPP 27-28'!F128</f>
        <v>10596</v>
      </c>
      <c r="D7860" s="2" t="str">
        <f t="shared" si="129"/>
        <v>Error?</v>
      </c>
      <c r="E7860" s="4" t="s">
        <v>1998</v>
      </c>
    </row>
    <row r="7861" spans="1:5" x14ac:dyDescent="0.2">
      <c r="A7861">
        <v>7800</v>
      </c>
      <c r="B7861" s="1831">
        <f>'PCTC-OEPP 27-28'!F129</f>
        <v>122276</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4522</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4227</v>
      </c>
      <c r="D7874" s="2" t="str">
        <f t="shared" si="129"/>
        <v>Error?</v>
      </c>
      <c r="E7874" s="4" t="s">
        <v>1998</v>
      </c>
    </row>
    <row r="7875" spans="1:5" x14ac:dyDescent="0.2">
      <c r="A7875">
        <v>7814</v>
      </c>
      <c r="B7875" s="1831">
        <f>'PCTC-OEPP 27-28'!F170</f>
        <v>2761</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675643</v>
      </c>
      <c r="D7877" s="2" t="str">
        <f t="shared" si="129"/>
        <v>Error?</v>
      </c>
      <c r="E7877" s="4" t="s">
        <v>1998</v>
      </c>
    </row>
    <row r="7878" spans="1:5" x14ac:dyDescent="0.2">
      <c r="A7878">
        <v>7817</v>
      </c>
      <c r="B7878" s="1831">
        <f>'PCTC-OEPP 27-28'!F176</f>
        <v>2568926</v>
      </c>
      <c r="D7878" s="2" t="str">
        <f t="shared" si="129"/>
        <v>Error?</v>
      </c>
      <c r="E7878" s="4" t="s">
        <v>1998</v>
      </c>
    </row>
    <row r="7879" spans="1:5" x14ac:dyDescent="0.2">
      <c r="A7879">
        <v>7818</v>
      </c>
      <c r="B7879" s="1831">
        <f>'PCTC-OEPP 27-28'!F178</f>
        <v>2819880</v>
      </c>
      <c r="D7879" s="2" t="str">
        <f t="shared" si="129"/>
        <v>Error?</v>
      </c>
      <c r="E7879" s="4" t="s">
        <v>1998</v>
      </c>
    </row>
    <row r="7880" spans="1:5" x14ac:dyDescent="0.2">
      <c r="A7880">
        <v>7819</v>
      </c>
      <c r="B7880" s="1831">
        <f>'PCTC-OEPP 27-28'!F180</f>
        <v>11808.542713567838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13890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82" t="s">
        <v>1181</v>
      </c>
      <c r="B2" s="2582"/>
      <c r="C2" s="2582"/>
      <c r="D2" s="2582"/>
      <c r="E2" s="2582"/>
      <c r="F2" s="2582"/>
      <c r="G2" s="2582"/>
      <c r="H2" s="2582"/>
      <c r="I2" s="2582"/>
      <c r="J2" s="2582"/>
      <c r="K2" s="2582"/>
      <c r="L2" s="2582"/>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99" t="str">
        <f>"Year Ending June 30, "&amp;'AFR20'!E2</f>
        <v>Year Ending June 30, 2020</v>
      </c>
      <c r="B4" s="2600"/>
      <c r="C4" s="2600"/>
      <c r="D4" s="2600"/>
      <c r="E4" s="2600"/>
      <c r="F4" s="2600"/>
      <c r="G4" s="2600"/>
      <c r="H4" s="2600"/>
      <c r="I4" s="2600"/>
      <c r="J4" s="2600"/>
      <c r="K4" s="2600"/>
      <c r="L4" s="2600"/>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62" t="str">
        <f>COVER!A17</f>
        <v>Leland CUSD 1</v>
      </c>
      <c r="B7" s="2563"/>
      <c r="C7" s="2563"/>
      <c r="D7" s="2601"/>
      <c r="E7" s="2602">
        <f>COVER!A13</f>
        <v>35050001026</v>
      </c>
      <c r="F7" s="2603"/>
      <c r="G7" s="2569" t="str">
        <f>COVER!T23</f>
        <v>066-005027</v>
      </c>
      <c r="H7" s="2570"/>
      <c r="I7" s="2570"/>
      <c r="J7" s="2570"/>
      <c r="K7" s="2570"/>
      <c r="L7" s="2571"/>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72"/>
      <c r="B9" s="2573"/>
      <c r="C9" s="2573"/>
      <c r="D9" s="2573"/>
      <c r="E9" s="2573"/>
      <c r="F9" s="2574"/>
      <c r="G9" s="2575" t="str">
        <f>COVER!T13</f>
        <v>Gorenz and Associates, Ltd.</v>
      </c>
      <c r="H9" s="2576"/>
      <c r="I9" s="2576"/>
      <c r="J9" s="2576"/>
      <c r="K9" s="2576"/>
      <c r="L9" s="2577"/>
    </row>
    <row r="10" spans="1:29" ht="13.5" customHeight="1" x14ac:dyDescent="0.2">
      <c r="A10" s="2559" t="str">
        <f>COVER!A38</f>
        <v>Jodi Moore</v>
      </c>
      <c r="B10" s="2560"/>
      <c r="C10" s="2560"/>
      <c r="D10" s="2560"/>
      <c r="E10" s="2560"/>
      <c r="F10" s="2561"/>
      <c r="G10" s="2575" t="str">
        <f>COVER!T17</f>
        <v>4200 N Knoxville Ave.</v>
      </c>
      <c r="H10" s="2588"/>
      <c r="I10" s="2588"/>
      <c r="J10" s="2588"/>
      <c r="K10" s="2588"/>
      <c r="L10" s="2589"/>
    </row>
    <row r="11" spans="1:29" ht="13.5" customHeight="1" x14ac:dyDescent="0.2">
      <c r="A11" s="962" t="s">
        <v>1502</v>
      </c>
      <c r="B11" s="963"/>
      <c r="C11" s="964"/>
      <c r="D11" s="969"/>
      <c r="E11" s="964"/>
      <c r="F11" s="968"/>
      <c r="G11" s="2575" t="str">
        <f>COVER!T19</f>
        <v>Peoria</v>
      </c>
      <c r="H11" s="2588"/>
      <c r="I11" s="2588"/>
      <c r="J11" s="2588"/>
      <c r="K11" s="2588"/>
      <c r="L11" s="2589"/>
    </row>
    <row r="12" spans="1:29" ht="13.5" customHeight="1" x14ac:dyDescent="0.2">
      <c r="A12" s="2593" t="s">
        <v>1501</v>
      </c>
      <c r="B12" s="2594"/>
      <c r="C12" s="2594"/>
      <c r="D12" s="2594"/>
      <c r="E12" s="2594"/>
      <c r="F12" s="2595"/>
      <c r="G12" s="2590"/>
      <c r="H12" s="2591"/>
      <c r="I12" s="2591"/>
      <c r="J12" s="2591"/>
      <c r="K12" s="2591"/>
      <c r="L12" s="2592"/>
    </row>
    <row r="13" spans="1:29" ht="13.5" customHeight="1" x14ac:dyDescent="0.2">
      <c r="A13" s="2575"/>
      <c r="B13" s="2588"/>
      <c r="C13" s="2588"/>
      <c r="D13" s="2588"/>
      <c r="E13" s="2588"/>
      <c r="F13" s="2589"/>
      <c r="G13" s="2583" t="s">
        <v>1503</v>
      </c>
      <c r="H13" s="2584"/>
      <c r="I13" s="2596" t="str">
        <f>COVER!T25</f>
        <v>tpeffer@gorenzcpa.com</v>
      </c>
      <c r="J13" s="2597"/>
      <c r="K13" s="2597"/>
      <c r="L13" s="2598"/>
    </row>
    <row r="14" spans="1:29" ht="13.5" customHeight="1" x14ac:dyDescent="0.2">
      <c r="A14" s="2575" t="str">
        <f>COVER!A19</f>
        <v>370 North Main Street</v>
      </c>
      <c r="B14" s="2588"/>
      <c r="C14" s="2588"/>
      <c r="D14" s="2588"/>
      <c r="E14" s="2588"/>
      <c r="F14" s="2589"/>
      <c r="G14" s="973" t="s">
        <v>1175</v>
      </c>
      <c r="H14" s="971"/>
      <c r="I14" s="971"/>
      <c r="J14" s="971"/>
      <c r="K14" s="971"/>
      <c r="L14" s="972"/>
    </row>
    <row r="15" spans="1:29" ht="13.5" customHeight="1" x14ac:dyDescent="0.2">
      <c r="A15" s="2575" t="str">
        <f>COVER!A21</f>
        <v>Leland</v>
      </c>
      <c r="B15" s="2588"/>
      <c r="C15" s="2588"/>
      <c r="D15" s="2588"/>
      <c r="E15" s="2588"/>
      <c r="F15" s="2589"/>
      <c r="G15" s="2585" t="str">
        <f>COVER!T15</f>
        <v>Thomas R. Peffer, CPA</v>
      </c>
      <c r="H15" s="2586"/>
      <c r="I15" s="2586"/>
      <c r="J15" s="2586"/>
      <c r="K15" s="2586"/>
      <c r="L15" s="2587"/>
    </row>
    <row r="16" spans="1:29" ht="12.2" customHeight="1" x14ac:dyDescent="0.2">
      <c r="A16" s="2565">
        <f>COVER!A25</f>
        <v>60531</v>
      </c>
      <c r="B16" s="2566"/>
      <c r="C16" s="2566"/>
      <c r="D16" s="2566"/>
      <c r="E16" s="2566"/>
      <c r="F16" s="2567"/>
      <c r="G16" s="2578"/>
      <c r="H16" s="2579"/>
      <c r="I16" s="2579"/>
      <c r="J16" s="2579"/>
      <c r="K16" s="2579"/>
      <c r="L16" s="2580"/>
    </row>
    <row r="17" spans="1:13" ht="12.2" customHeight="1" x14ac:dyDescent="0.2">
      <c r="A17" s="2581"/>
      <c r="B17" s="2566"/>
      <c r="C17" s="2566"/>
      <c r="D17" s="2566"/>
      <c r="E17" s="2566"/>
      <c r="F17" s="2567"/>
      <c r="G17" s="973" t="s">
        <v>1174</v>
      </c>
      <c r="H17" s="971"/>
      <c r="I17" s="971"/>
      <c r="J17" s="971"/>
      <c r="K17" s="975" t="s">
        <v>1173</v>
      </c>
      <c r="L17" s="968"/>
      <c r="M17" s="961"/>
    </row>
    <row r="18" spans="1:13" ht="12.2" customHeight="1" x14ac:dyDescent="0.2">
      <c r="A18" s="2559"/>
      <c r="B18" s="2560"/>
      <c r="C18" s="2560"/>
      <c r="D18" s="2560"/>
      <c r="E18" s="2560"/>
      <c r="F18" s="2561"/>
      <c r="G18" s="2562" t="str">
        <f>COVER!T21</f>
        <v>309-685-7621</v>
      </c>
      <c r="H18" s="2563"/>
      <c r="I18" s="2563"/>
      <c r="J18" s="2563"/>
      <c r="K18" s="2562" t="str">
        <f>COVER!X21</f>
        <v>309-685-4758</v>
      </c>
      <c r="L18" s="256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604" t="str">
        <f>'Single Audit Cover'!A7</f>
        <v>Leland CUSD 1</v>
      </c>
      <c r="B1" s="2605"/>
      <c r="C1" s="2605"/>
      <c r="D1" s="2605"/>
    </row>
    <row r="2" spans="1:11" s="990" customFormat="1" ht="12.75" x14ac:dyDescent="0.2">
      <c r="A2" s="2606">
        <f>'Single Audit Cover'!E7</f>
        <v>35050001026</v>
      </c>
      <c r="B2" s="2607"/>
      <c r="C2" s="2607"/>
      <c r="D2" s="2607"/>
    </row>
    <row r="3" spans="1:11" s="990" customFormat="1" ht="12.75" x14ac:dyDescent="0.2">
      <c r="A3" s="2604" t="s">
        <v>1496</v>
      </c>
      <c r="B3" s="2605"/>
      <c r="C3" s="2605"/>
      <c r="D3" s="2605"/>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609" t="str">
        <f>'Single Audit Cover'!A7</f>
        <v>Leland CUSD 1</v>
      </c>
      <c r="B1" s="2609"/>
      <c r="C1" s="2609"/>
      <c r="D1" s="2609"/>
      <c r="E1" s="2609"/>
    </row>
    <row r="2" spans="1:5" x14ac:dyDescent="0.2">
      <c r="A2" s="2610">
        <f>'Single Audit Cover'!E7</f>
        <v>35050001026</v>
      </c>
      <c r="B2" s="2610"/>
      <c r="C2" s="2610"/>
      <c r="D2" s="2610"/>
      <c r="E2" s="2610"/>
    </row>
    <row r="3" spans="1:5" ht="4.5" customHeight="1" x14ac:dyDescent="0.2"/>
    <row r="4" spans="1:5" x14ac:dyDescent="0.2">
      <c r="A4" s="2609" t="s">
        <v>1234</v>
      </c>
      <c r="B4" s="2609"/>
      <c r="C4" s="2609"/>
      <c r="D4" s="2609"/>
      <c r="E4" s="2609"/>
    </row>
    <row r="5" spans="1:5" x14ac:dyDescent="0.2">
      <c r="A5" s="2612" t="str">
        <f>'Single Audit Cover'!A4</f>
        <v>Year Ending June 30, 2020</v>
      </c>
      <c r="B5" s="2612"/>
      <c r="C5" s="2612"/>
      <c r="D5" s="2612"/>
      <c r="E5" s="2612"/>
    </row>
    <row r="6" spans="1:5" x14ac:dyDescent="0.2">
      <c r="A6" s="2609" t="s">
        <v>1233</v>
      </c>
      <c r="B6" s="2609"/>
      <c r="C6" s="2609"/>
      <c r="D6" s="2609"/>
      <c r="E6" s="2609"/>
    </row>
    <row r="8" spans="1:5" x14ac:dyDescent="0.2">
      <c r="A8" s="1035" t="s">
        <v>1232</v>
      </c>
    </row>
    <row r="10" spans="1:5" x14ac:dyDescent="0.2">
      <c r="A10" s="1036" t="s">
        <v>1231</v>
      </c>
      <c r="B10" s="1037" t="s">
        <v>1230</v>
      </c>
      <c r="C10" s="1037"/>
      <c r="D10" s="1038">
        <f>SUM('Acct Summary 7-8'!C7:K7)</f>
        <v>298978</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10790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-2761</v>
      </c>
    </row>
    <row r="19" spans="1:4" ht="13.5" thickBot="1" x14ac:dyDescent="0.25">
      <c r="A19" s="1040" t="s">
        <v>1224</v>
      </c>
      <c r="D19" s="1041">
        <f>SUM(D10:D17)</f>
        <v>307007</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611"/>
      <c r="B24" s="2611"/>
      <c r="D24" s="1043"/>
    </row>
    <row r="25" spans="1:4" x14ac:dyDescent="0.2">
      <c r="A25" s="2608"/>
      <c r="B25" s="2608"/>
      <c r="D25" s="1043"/>
    </row>
    <row r="26" spans="1:4" x14ac:dyDescent="0.2">
      <c r="A26" s="2608"/>
      <c r="B26" s="2608"/>
      <c r="D26" s="1043"/>
    </row>
    <row r="27" spans="1:4" x14ac:dyDescent="0.2">
      <c r="A27" s="2608"/>
      <c r="B27" s="2608"/>
      <c r="D27" s="1043"/>
    </row>
    <row r="28" spans="1:4" x14ac:dyDescent="0.2">
      <c r="A28" s="2608"/>
      <c r="B28" s="2608"/>
      <c r="D28" s="1043"/>
    </row>
    <row r="29" spans="1:4" x14ac:dyDescent="0.2">
      <c r="A29" s="2608"/>
      <c r="B29" s="2608"/>
      <c r="D29" s="1043"/>
    </row>
    <row r="30" spans="1:4" x14ac:dyDescent="0.2">
      <c r="A30" s="2608"/>
      <c r="B30" s="2608"/>
      <c r="D30" s="1043"/>
    </row>
    <row r="32" spans="1:4" x14ac:dyDescent="0.2">
      <c r="A32" s="1035" t="s">
        <v>1222</v>
      </c>
      <c r="D32" s="1038">
        <f>SUM(D19:D30)</f>
        <v>307007</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608"/>
      <c r="B40" s="2608"/>
      <c r="D40" s="1043"/>
    </row>
    <row r="41" spans="1:4" x14ac:dyDescent="0.2">
      <c r="A41" s="2608"/>
      <c r="B41" s="2608"/>
      <c r="D41" s="1046"/>
    </row>
    <row r="42" spans="1:4" x14ac:dyDescent="0.2">
      <c r="A42" s="2608"/>
      <c r="B42" s="2608"/>
      <c r="D42" s="1046"/>
    </row>
    <row r="43" spans="1:4" x14ac:dyDescent="0.2">
      <c r="A43" s="2608"/>
      <c r="B43" s="2608"/>
      <c r="D43" s="1046"/>
    </row>
    <row r="44" spans="1:4" x14ac:dyDescent="0.2">
      <c r="A44" s="2608"/>
      <c r="B44" s="2608"/>
      <c r="D44" s="1046"/>
    </row>
    <row r="45" spans="1:4" x14ac:dyDescent="0.2">
      <c r="A45" s="2608"/>
      <c r="B45" s="2608"/>
      <c r="D45" s="1046"/>
    </row>
    <row r="47" spans="1:4" x14ac:dyDescent="0.2">
      <c r="B47" s="1047" t="s">
        <v>1216</v>
      </c>
      <c r="C47" s="1047"/>
      <c r="D47" s="1048">
        <f>SUM(D35:D45)</f>
        <v>0</v>
      </c>
    </row>
    <row r="49" spans="2:4" x14ac:dyDescent="0.2">
      <c r="B49" s="1047" t="s">
        <v>1215</v>
      </c>
      <c r="C49" s="1047"/>
      <c r="D49" s="1048">
        <f>D32-D47</f>
        <v>307007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68" t="str">
        <f>'Single Audit Cover'!A7</f>
        <v>Leland CUSD 1</v>
      </c>
      <c r="C1" s="2613"/>
      <c r="D1" s="2613"/>
      <c r="E1" s="2613"/>
      <c r="F1" s="2613"/>
      <c r="G1" s="2613"/>
      <c r="H1" s="2613"/>
      <c r="I1" s="2613"/>
      <c r="J1" s="2613"/>
      <c r="K1" s="2613"/>
      <c r="L1" s="2613"/>
      <c r="M1" s="2613"/>
    </row>
    <row r="2" spans="2:14" ht="15" x14ac:dyDescent="0.2">
      <c r="B2" s="2614">
        <f>'Single Audit Cover'!E7</f>
        <v>35050001026</v>
      </c>
      <c r="C2" s="2614"/>
      <c r="D2" s="2614"/>
      <c r="E2" s="2614"/>
      <c r="F2" s="2614"/>
      <c r="G2" s="2614"/>
      <c r="H2" s="2614"/>
      <c r="I2" s="2614"/>
      <c r="J2" s="2614"/>
      <c r="K2" s="2614"/>
      <c r="L2" s="2614"/>
      <c r="M2" s="2614"/>
      <c r="N2" s="1077"/>
    </row>
    <row r="3" spans="2:14" ht="15" x14ac:dyDescent="0.2">
      <c r="B3" s="2615" t="s">
        <v>1208</v>
      </c>
      <c r="C3" s="2615"/>
      <c r="D3" s="2615"/>
      <c r="E3" s="2615"/>
      <c r="F3" s="2615"/>
      <c r="G3" s="2615"/>
      <c r="H3" s="2615"/>
      <c r="I3" s="2615"/>
      <c r="J3" s="2615"/>
      <c r="K3" s="2615"/>
      <c r="L3" s="2615"/>
      <c r="M3" s="2615"/>
      <c r="N3" s="1077"/>
    </row>
    <row r="4" spans="2:14" ht="15" x14ac:dyDescent="0.2">
      <c r="B4" s="2616" t="str">
        <f>'Single Audit Cover'!A4</f>
        <v>Year Ending June 30, 2020</v>
      </c>
      <c r="C4" s="2616"/>
      <c r="D4" s="2616"/>
      <c r="E4" s="2616"/>
      <c r="F4" s="2616"/>
      <c r="G4" s="2616"/>
      <c r="H4" s="2616"/>
      <c r="I4" s="2616"/>
      <c r="J4" s="2616"/>
      <c r="K4" s="2616"/>
      <c r="L4" s="2616"/>
      <c r="M4" s="2616"/>
      <c r="N4" s="1077"/>
    </row>
    <row r="5" spans="2:14" x14ac:dyDescent="0.2">
      <c r="H5" s="1915"/>
      <c r="J5" s="1915"/>
    </row>
    <row r="6" spans="2:14" x14ac:dyDescent="0.2">
      <c r="B6" s="1078"/>
      <c r="C6" s="1079"/>
      <c r="D6" s="1080" t="s">
        <v>1254</v>
      </c>
      <c r="E6" s="1081" t="s">
        <v>524</v>
      </c>
      <c r="F6" s="1082"/>
      <c r="G6" s="1083" t="s">
        <v>1711</v>
      </c>
      <c r="H6" s="1081"/>
      <c r="I6" s="1081"/>
      <c r="J6" s="191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t="s">
        <v>2059</v>
      </c>
      <c r="C12" s="1823"/>
      <c r="D12" s="1824"/>
      <c r="E12" s="1825"/>
      <c r="F12" s="1825"/>
      <c r="G12" s="1825"/>
      <c r="H12" s="1825"/>
      <c r="I12" s="1825"/>
      <c r="J12" s="1825"/>
      <c r="K12" s="1825"/>
      <c r="L12" s="1822">
        <f t="shared" ref="L12:L27" si="0">+G12+I12+K12</f>
        <v>0</v>
      </c>
      <c r="M12" s="1825"/>
    </row>
    <row r="13" spans="2:14" ht="20.100000000000001" customHeight="1" x14ac:dyDescent="0.2">
      <c r="B13" s="1112" t="s">
        <v>1159</v>
      </c>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Leland CUSD 1</v>
      </c>
      <c r="B1" s="2618"/>
      <c r="C1" s="2618"/>
      <c r="D1" s="2618"/>
      <c r="E1" s="2618"/>
      <c r="F1" s="2618"/>
    </row>
    <row r="2" spans="1:7" ht="13.5" customHeight="1" x14ac:dyDescent="0.2">
      <c r="A2" s="2614">
        <f>'Single Audit Cover'!E7</f>
        <v>35050001026</v>
      </c>
      <c r="B2" s="2614"/>
      <c r="C2" s="2614"/>
      <c r="D2" s="2614"/>
      <c r="E2" s="2614"/>
      <c r="F2" s="2614"/>
      <c r="G2" s="1050"/>
    </row>
    <row r="3" spans="1:7" ht="15.75" customHeight="1" x14ac:dyDescent="0.2">
      <c r="A3" s="2619" t="s">
        <v>1260</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1" t="s">
        <v>1705</v>
      </c>
      <c r="C6" s="295"/>
      <c r="D6" s="295"/>
    </row>
    <row r="7" spans="1:7" ht="60.95" customHeight="1" x14ac:dyDescent="0.2">
      <c r="A7" s="2617" t="s">
        <v>1706</v>
      </c>
      <c r="B7" s="2617"/>
      <c r="C7" s="2617"/>
      <c r="D7" s="2617"/>
      <c r="E7" s="2617"/>
      <c r="F7" s="261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617" t="s">
        <v>1708</v>
      </c>
      <c r="B13" s="2617"/>
      <c r="C13" s="2617"/>
      <c r="D13" s="2617"/>
      <c r="E13" s="2617"/>
      <c r="F13" s="2617"/>
    </row>
    <row r="14" spans="1:7" ht="9.75" customHeight="1" x14ac:dyDescent="0.2">
      <c r="C14" s="1035"/>
      <c r="D14" s="1035"/>
    </row>
    <row r="15" spans="1:7" ht="13.5" customHeight="1" x14ac:dyDescent="0.2">
      <c r="C15" s="1475" t="s">
        <v>1259</v>
      </c>
      <c r="D15" s="2622" t="s">
        <v>1258</v>
      </c>
      <c r="E15" s="2622"/>
      <c r="F15" s="2622"/>
    </row>
    <row r="16" spans="1:7" ht="13.5" customHeight="1" x14ac:dyDescent="0.2">
      <c r="A16" s="1057"/>
      <c r="B16" s="1051" t="s">
        <v>1257</v>
      </c>
      <c r="C16" s="1475" t="s">
        <v>1256</v>
      </c>
      <c r="D16" s="2623" t="s">
        <v>1571</v>
      </c>
      <c r="E16" s="2623"/>
      <c r="F16" s="2623"/>
    </row>
    <row r="17" spans="1:6" ht="20.45" customHeight="1" x14ac:dyDescent="0.2">
      <c r="A17" s="1058"/>
      <c r="B17" s="1059"/>
      <c r="C17" s="1060"/>
      <c r="D17" s="2621"/>
      <c r="E17" s="2621"/>
      <c r="F17" s="2621"/>
    </row>
    <row r="18" spans="1:6" ht="20.65" customHeight="1" x14ac:dyDescent="0.2">
      <c r="A18" s="1058"/>
      <c r="B18" s="1059"/>
      <c r="C18" s="1060"/>
      <c r="D18" s="2621"/>
      <c r="E18" s="2621"/>
      <c r="F18" s="2621"/>
    </row>
    <row r="19" spans="1:6" ht="20.65" customHeight="1" x14ac:dyDescent="0.2">
      <c r="A19" s="1058"/>
      <c r="B19" s="1059"/>
      <c r="C19" s="1060"/>
      <c r="D19" s="2621"/>
      <c r="E19" s="2621"/>
      <c r="F19" s="2621"/>
    </row>
    <row r="20" spans="1:6" ht="20.65" customHeight="1" x14ac:dyDescent="0.2">
      <c r="A20" s="1058"/>
      <c r="B20" s="1059"/>
      <c r="C20" s="1060"/>
      <c r="D20" s="2621"/>
      <c r="E20" s="2621"/>
      <c r="F20" s="2621"/>
    </row>
    <row r="21" spans="1:6" ht="20.65" customHeight="1" x14ac:dyDescent="0.2">
      <c r="A21" s="1058"/>
      <c r="B21" s="1059"/>
      <c r="C21" s="1060"/>
      <c r="D21" s="2621"/>
      <c r="E21" s="2621"/>
      <c r="F21" s="2621"/>
    </row>
    <row r="22" spans="1:6" ht="20.65" customHeight="1" x14ac:dyDescent="0.2">
      <c r="A22" s="1058"/>
      <c r="B22" s="1059"/>
      <c r="C22" s="1060"/>
      <c r="D22" s="2621"/>
      <c r="E22" s="2621"/>
      <c r="F22" s="2621"/>
    </row>
    <row r="23" spans="1:6" ht="20.65" customHeight="1" x14ac:dyDescent="0.2">
      <c r="A23" s="1058"/>
      <c r="B23" s="1059"/>
      <c r="C23" s="1060"/>
      <c r="D23" s="2621"/>
      <c r="E23" s="2621"/>
      <c r="F23" s="2621"/>
    </row>
    <row r="24" spans="1:6" ht="20.65" customHeight="1" x14ac:dyDescent="0.2">
      <c r="A24" s="1058"/>
      <c r="B24" s="1059"/>
      <c r="C24" s="1060"/>
      <c r="D24" s="2621"/>
      <c r="E24" s="2621"/>
      <c r="F24" s="2621"/>
    </row>
    <row r="25" spans="1:6" ht="20.65" customHeight="1" x14ac:dyDescent="0.2">
      <c r="A25" s="1058"/>
      <c r="B25" s="1059"/>
      <c r="C25" s="1060"/>
      <c r="D25" s="2621"/>
      <c r="E25" s="2621"/>
      <c r="F25" s="2621"/>
    </row>
    <row r="26" spans="1:6" ht="20.65" customHeight="1" x14ac:dyDescent="0.2">
      <c r="A26" s="1058"/>
      <c r="B26" s="1059"/>
      <c r="C26" s="1060"/>
      <c r="D26" s="2621"/>
      <c r="E26" s="2621"/>
      <c r="F26" s="2621"/>
    </row>
    <row r="27" spans="1:6" ht="20.65" customHeight="1" x14ac:dyDescent="0.2">
      <c r="A27" s="1058"/>
      <c r="B27" s="1059"/>
      <c r="C27" s="1060"/>
      <c r="D27" s="2621"/>
      <c r="E27" s="2621"/>
      <c r="F27" s="2621"/>
    </row>
    <row r="28" spans="1:6" ht="20.65" customHeight="1" x14ac:dyDescent="0.2">
      <c r="A28" s="1058"/>
      <c r="B28" s="1059"/>
      <c r="C28" s="1060"/>
      <c r="D28" s="2621"/>
      <c r="E28" s="2621"/>
      <c r="F28" s="2621"/>
    </row>
    <row r="29" spans="1:6" ht="20.65" customHeight="1" x14ac:dyDescent="0.2">
      <c r="A29" s="1058"/>
      <c r="B29" s="1059"/>
      <c r="C29" s="1060"/>
      <c r="D29" s="2621"/>
      <c r="E29" s="2621"/>
      <c r="F29" s="2621"/>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625" t="s">
        <v>1709</v>
      </c>
      <c r="B32" s="2625"/>
      <c r="C32" s="2625"/>
      <c r="D32" s="2625"/>
      <c r="E32" s="2625"/>
      <c r="F32" s="2625"/>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626">
        <f>+C33+C34</f>
        <v>0</v>
      </c>
      <c r="F34" s="2627"/>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28" t="s">
        <v>1573</v>
      </c>
      <c r="C49" s="2628"/>
      <c r="D49" s="2628"/>
      <c r="E49" s="1167"/>
    </row>
    <row r="50" spans="1:5" s="1075" customFormat="1" ht="3.75" customHeight="1" x14ac:dyDescent="0.2">
      <c r="A50" s="1074"/>
      <c r="B50" s="1474"/>
      <c r="C50" s="1474"/>
      <c r="D50" s="1474"/>
      <c r="E50" s="1167"/>
    </row>
    <row r="51" spans="1:5" s="1075" customFormat="1" ht="20.25" customHeight="1" x14ac:dyDescent="0.2">
      <c r="A51" s="1076">
        <v>6</v>
      </c>
      <c r="B51" s="2624" t="s">
        <v>1534</v>
      </c>
      <c r="C51" s="2624"/>
      <c r="D51" s="2624"/>
    </row>
    <row r="52" spans="1:5" ht="14.25" customHeight="1" x14ac:dyDescent="0.2">
      <c r="A52" s="1076"/>
      <c r="B52" s="2624"/>
      <c r="C52" s="2624"/>
      <c r="D52" s="262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1" t="s">
        <v>1158</v>
      </c>
      <c r="B2" s="2201"/>
      <c r="C2" s="2201"/>
      <c r="D2" s="2201"/>
      <c r="E2" s="2201"/>
      <c r="F2" s="2201"/>
      <c r="G2" s="2201"/>
      <c r="H2" s="2201"/>
      <c r="I2" s="2201"/>
      <c r="J2" s="220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5" t="s">
        <v>1616</v>
      </c>
      <c r="B35" s="2216"/>
      <c r="C35" s="2216"/>
      <c r="D35" s="2216"/>
      <c r="E35" s="2217"/>
      <c r="F35" s="2217"/>
      <c r="G35" s="2217"/>
      <c r="H35" s="2217"/>
      <c r="I35" s="221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5" t="s">
        <v>310</v>
      </c>
      <c r="B47" s="2218"/>
      <c r="C47" s="2218"/>
      <c r="D47" s="2218"/>
      <c r="E47" s="2219"/>
      <c r="F47" s="2219"/>
      <c r="G47" s="2219"/>
      <c r="H47" s="2219"/>
      <c r="I47" s="221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2"/>
      <c r="C57" s="2223"/>
      <c r="D57" s="2223"/>
      <c r="E57" s="2223"/>
      <c r="F57" s="2223"/>
      <c r="G57" s="2223"/>
      <c r="H57" s="2223"/>
      <c r="I57" s="2223"/>
      <c r="J57" s="2224"/>
    </row>
    <row r="58" spans="1:10" s="176" customFormat="1" x14ac:dyDescent="0.2">
      <c r="A58" s="248"/>
      <c r="B58" s="2225"/>
      <c r="C58" s="2226"/>
      <c r="D58" s="2226"/>
      <c r="E58" s="2226"/>
      <c r="F58" s="2226"/>
      <c r="G58" s="2226"/>
      <c r="H58" s="2226"/>
      <c r="I58" s="2226"/>
      <c r="J58" s="2227"/>
    </row>
    <row r="59" spans="1:10" s="176" customFormat="1" x14ac:dyDescent="0.2">
      <c r="A59" s="248"/>
      <c r="B59" s="2225"/>
      <c r="C59" s="2226"/>
      <c r="D59" s="2226"/>
      <c r="E59" s="2226"/>
      <c r="F59" s="2226"/>
      <c r="G59" s="2226"/>
      <c r="H59" s="2226"/>
      <c r="I59" s="2226"/>
      <c r="J59" s="2227"/>
    </row>
    <row r="60" spans="1:10" s="176" customFormat="1" x14ac:dyDescent="0.2">
      <c r="A60" s="248"/>
      <c r="B60" s="2225"/>
      <c r="C60" s="2226"/>
      <c r="D60" s="2226"/>
      <c r="E60" s="2226"/>
      <c r="F60" s="2226"/>
      <c r="G60" s="2226"/>
      <c r="H60" s="2226"/>
      <c r="I60" s="2226"/>
      <c r="J60" s="2227"/>
    </row>
    <row r="61" spans="1:10" s="176" customFormat="1" x14ac:dyDescent="0.2">
      <c r="A61" s="248"/>
      <c r="B61" s="2225"/>
      <c r="C61" s="2226"/>
      <c r="D61" s="2226"/>
      <c r="E61" s="2226"/>
      <c r="F61" s="2226"/>
      <c r="G61" s="2226"/>
      <c r="H61" s="2226"/>
      <c r="I61" s="2226"/>
      <c r="J61" s="2227"/>
    </row>
    <row r="62" spans="1:10" s="176" customFormat="1" x14ac:dyDescent="0.2">
      <c r="A62" s="248"/>
      <c r="B62" s="2225"/>
      <c r="C62" s="2226"/>
      <c r="D62" s="2226"/>
      <c r="E62" s="2226"/>
      <c r="F62" s="2226"/>
      <c r="G62" s="2226"/>
      <c r="H62" s="2226"/>
      <c r="I62" s="2226"/>
      <c r="J62" s="2227"/>
    </row>
    <row r="63" spans="1:10" s="176" customFormat="1" x14ac:dyDescent="0.2">
      <c r="A63" s="248"/>
      <c r="B63" s="2225"/>
      <c r="C63" s="2226"/>
      <c r="D63" s="2226"/>
      <c r="E63" s="2226"/>
      <c r="F63" s="2226"/>
      <c r="G63" s="2226"/>
      <c r="H63" s="2226"/>
      <c r="I63" s="2226"/>
      <c r="J63" s="2227"/>
    </row>
    <row r="64" spans="1:10" s="176" customFormat="1" x14ac:dyDescent="0.2">
      <c r="A64" s="248"/>
      <c r="B64" s="2225"/>
      <c r="C64" s="2226"/>
      <c r="D64" s="2226"/>
      <c r="E64" s="2226"/>
      <c r="F64" s="2226"/>
      <c r="G64" s="2226"/>
      <c r="H64" s="2226"/>
      <c r="I64" s="2226"/>
      <c r="J64" s="2227"/>
    </row>
    <row r="65" spans="1:11" s="176" customFormat="1" x14ac:dyDescent="0.2">
      <c r="A65" s="248"/>
      <c r="B65" s="2225"/>
      <c r="C65" s="2226"/>
      <c r="D65" s="2226"/>
      <c r="E65" s="2226"/>
      <c r="F65" s="2226"/>
      <c r="G65" s="2226"/>
      <c r="H65" s="2226"/>
      <c r="I65" s="2226"/>
      <c r="J65" s="2227"/>
    </row>
    <row r="66" spans="1:11" s="176" customFormat="1" x14ac:dyDescent="0.2">
      <c r="A66" s="248"/>
      <c r="B66" s="2225"/>
      <c r="C66" s="2226"/>
      <c r="D66" s="2226"/>
      <c r="E66" s="2226"/>
      <c r="F66" s="2226"/>
      <c r="G66" s="2226"/>
      <c r="H66" s="2226"/>
      <c r="I66" s="2226"/>
      <c r="J66" s="2227"/>
    </row>
    <row r="67" spans="1:11" s="176" customFormat="1" ht="9" customHeight="1" x14ac:dyDescent="0.2">
      <c r="A67" s="249"/>
      <c r="B67" s="2228"/>
      <c r="C67" s="2229"/>
      <c r="D67" s="2229"/>
      <c r="E67" s="2229"/>
      <c r="F67" s="2229"/>
      <c r="G67" s="2229"/>
      <c r="H67" s="2229"/>
      <c r="I67" s="2229"/>
      <c r="J67" s="223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5" t="s">
        <v>1312</v>
      </c>
      <c r="B70" s="2218"/>
      <c r="C70" s="2218"/>
      <c r="D70" s="2218"/>
      <c r="E70" s="2219"/>
      <c r="F70" s="2219"/>
      <c r="G70" s="2219"/>
      <c r="H70" s="2219"/>
      <c r="I70" s="221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0" t="s">
        <v>1309</v>
      </c>
      <c r="B83" s="2220"/>
      <c r="C83" s="2220"/>
      <c r="D83" s="222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1" t="s">
        <v>1989</v>
      </c>
      <c r="B85" s="2231"/>
      <c r="C85" s="2231"/>
      <c r="D85" s="2232"/>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233" t="s">
        <v>1989</v>
      </c>
      <c r="B88" s="2234"/>
      <c r="C88" s="2234"/>
      <c r="D88" s="2235"/>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2" t="s">
        <v>2105</v>
      </c>
      <c r="C102" s="2203"/>
      <c r="D102" s="2203"/>
      <c r="E102" s="2203"/>
      <c r="F102" s="2203"/>
      <c r="G102" s="2203"/>
      <c r="H102" s="2203"/>
      <c r="I102" s="2204"/>
    </row>
    <row r="103" spans="1:9" s="176" customFormat="1" ht="11.25" customHeight="1" x14ac:dyDescent="0.2">
      <c r="A103" s="294"/>
      <c r="B103" s="2205"/>
      <c r="C103" s="2206"/>
      <c r="D103" s="2206"/>
      <c r="E103" s="2206"/>
      <c r="F103" s="2206"/>
      <c r="G103" s="2206"/>
      <c r="H103" s="2206"/>
      <c r="I103" s="2207"/>
    </row>
    <row r="104" spans="1:9" s="176" customFormat="1" ht="11.25" customHeight="1" x14ac:dyDescent="0.2">
      <c r="A104" s="294"/>
      <c r="B104" s="2205"/>
      <c r="C104" s="2206"/>
      <c r="D104" s="2206"/>
      <c r="E104" s="2206"/>
      <c r="F104" s="2206"/>
      <c r="G104" s="2206"/>
      <c r="H104" s="2206"/>
      <c r="I104" s="2207"/>
    </row>
    <row r="105" spans="1:9" s="176" customFormat="1" x14ac:dyDescent="0.2">
      <c r="A105" s="294"/>
      <c r="B105" s="2205"/>
      <c r="C105" s="2206"/>
      <c r="D105" s="2206"/>
      <c r="E105" s="2206"/>
      <c r="F105" s="2206"/>
      <c r="G105" s="2206"/>
      <c r="H105" s="2206"/>
      <c r="I105" s="2207"/>
    </row>
    <row r="106" spans="1:9" s="176" customFormat="1" ht="11.25" customHeight="1" x14ac:dyDescent="0.2">
      <c r="A106" s="294"/>
      <c r="B106" s="2205"/>
      <c r="C106" s="2206"/>
      <c r="D106" s="2206"/>
      <c r="E106" s="2206"/>
      <c r="F106" s="2206"/>
      <c r="G106" s="2206"/>
      <c r="H106" s="2206"/>
      <c r="I106" s="2207"/>
    </row>
    <row r="107" spans="1:9" s="176" customFormat="1" ht="11.25" customHeight="1" x14ac:dyDescent="0.2">
      <c r="A107" s="294"/>
      <c r="B107" s="2205"/>
      <c r="C107" s="2206"/>
      <c r="D107" s="2206"/>
      <c r="E107" s="2206"/>
      <c r="F107" s="2206"/>
      <c r="G107" s="2206"/>
      <c r="H107" s="2206"/>
      <c r="I107" s="2207"/>
    </row>
    <row r="108" spans="1:9" s="176" customFormat="1" ht="11.25" customHeight="1" x14ac:dyDescent="0.2">
      <c r="A108" s="294"/>
      <c r="B108" s="2205"/>
      <c r="C108" s="2206"/>
      <c r="D108" s="2206"/>
      <c r="E108" s="2206"/>
      <c r="F108" s="2206"/>
      <c r="G108" s="2206"/>
      <c r="H108" s="2206"/>
      <c r="I108" s="2207"/>
    </row>
    <row r="109" spans="1:9" s="176" customFormat="1" ht="11.25" customHeight="1" x14ac:dyDescent="0.2">
      <c r="A109" s="294"/>
      <c r="B109" s="2205"/>
      <c r="C109" s="2206"/>
      <c r="D109" s="2206"/>
      <c r="E109" s="2206"/>
      <c r="F109" s="2206"/>
      <c r="G109" s="2206"/>
      <c r="H109" s="2206"/>
      <c r="I109" s="2207"/>
    </row>
    <row r="110" spans="1:9" s="176" customFormat="1" ht="11.25" customHeight="1" x14ac:dyDescent="0.2">
      <c r="A110" s="294"/>
      <c r="B110" s="2205"/>
      <c r="C110" s="2206"/>
      <c r="D110" s="2206"/>
      <c r="E110" s="2206"/>
      <c r="F110" s="2206"/>
      <c r="G110" s="2206"/>
      <c r="H110" s="2206"/>
      <c r="I110" s="2207"/>
    </row>
    <row r="111" spans="1:9" s="176" customFormat="1" ht="11.25" customHeight="1" x14ac:dyDescent="0.2">
      <c r="A111" s="294"/>
      <c r="B111" s="2205"/>
      <c r="C111" s="2206"/>
      <c r="D111" s="2206"/>
      <c r="E111" s="2206"/>
      <c r="F111" s="2206"/>
      <c r="G111" s="2206"/>
      <c r="H111" s="2206"/>
      <c r="I111" s="2207"/>
    </row>
    <row r="112" spans="1:9" s="176" customFormat="1" ht="11.25" customHeight="1" x14ac:dyDescent="0.2">
      <c r="A112" s="294"/>
      <c r="B112" s="2208"/>
      <c r="C112" s="2209"/>
      <c r="D112" s="2209"/>
      <c r="E112" s="2209"/>
      <c r="F112" s="2209"/>
      <c r="G112" s="2209"/>
      <c r="H112" s="2209"/>
      <c r="I112" s="221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1" t="s">
        <v>2052</v>
      </c>
      <c r="D114" s="221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2" t="s">
        <v>1319</v>
      </c>
      <c r="D117" s="2213"/>
      <c r="E117" s="2214"/>
      <c r="F117" s="2214"/>
      <c r="G117" s="2214"/>
      <c r="H117" s="2214"/>
      <c r="I117" s="282"/>
    </row>
    <row r="118" spans="1:9" s="176" customFormat="1" ht="24" customHeight="1" x14ac:dyDescent="0.2">
      <c r="A118" s="294"/>
      <c r="B118" s="294"/>
      <c r="C118" s="294"/>
      <c r="D118" s="301" t="s">
        <v>2127</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Leland CUSD 1</v>
      </c>
      <c r="C1" s="2634"/>
      <c r="D1" s="2634"/>
      <c r="E1" s="2634"/>
      <c r="F1" s="2634"/>
      <c r="G1" s="2634"/>
      <c r="H1" s="2634"/>
      <c r="I1" s="2634"/>
      <c r="J1" s="1177"/>
    </row>
    <row r="2" spans="2:10" s="295" customFormat="1" ht="12.75" customHeight="1" x14ac:dyDescent="0.2">
      <c r="B2" s="2635">
        <f>'Single Audit Cover'!E7</f>
        <v>35050001026</v>
      </c>
      <c r="C2" s="2636"/>
      <c r="D2" s="2636"/>
      <c r="E2" s="2636"/>
      <c r="F2" s="2636"/>
      <c r="G2" s="2636"/>
      <c r="H2" s="2636"/>
      <c r="I2" s="2636"/>
      <c r="J2" s="1177"/>
    </row>
    <row r="3" spans="2:10" s="295" customFormat="1" ht="12.75" customHeight="1" x14ac:dyDescent="0.2">
      <c r="B3" s="2637" t="s">
        <v>1274</v>
      </c>
      <c r="C3" s="2638"/>
      <c r="D3" s="2638"/>
      <c r="E3" s="2638"/>
      <c r="F3" s="2638"/>
      <c r="G3" s="2638"/>
      <c r="H3" s="2638"/>
      <c r="I3" s="2638"/>
      <c r="J3" s="1178"/>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37" t="s">
        <v>1273</v>
      </c>
      <c r="C7" s="2638"/>
      <c r="D7" s="2638"/>
      <c r="E7" s="2638"/>
      <c r="F7" s="2638"/>
      <c r="G7" s="2638"/>
      <c r="H7" s="2638"/>
      <c r="I7" s="2638"/>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39"/>
      <c r="D11" s="2639"/>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40"/>
      <c r="E29" s="2640"/>
      <c r="F29" s="2640"/>
      <c r="G29" s="2640"/>
      <c r="H29" s="2640"/>
      <c r="I29" s="2640"/>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41" t="s">
        <v>1728</v>
      </c>
      <c r="D37" s="2642"/>
      <c r="E37" s="2642"/>
      <c r="F37" s="2643"/>
      <c r="G37" s="2641" t="s">
        <v>1575</v>
      </c>
      <c r="H37" s="2642"/>
      <c r="I37" s="2643"/>
    </row>
    <row r="38" spans="2:9" ht="16.5" customHeight="1" x14ac:dyDescent="0.2">
      <c r="B38" s="1199"/>
      <c r="C38" s="2629"/>
      <c r="D38" s="2630"/>
      <c r="E38" s="2630"/>
      <c r="F38" s="2631"/>
      <c r="G38" s="2644"/>
      <c r="H38" s="2645"/>
      <c r="I38" s="2646"/>
    </row>
    <row r="39" spans="2:9" ht="16.5" customHeight="1" x14ac:dyDescent="0.2">
      <c r="B39" s="1199"/>
      <c r="C39" s="2629"/>
      <c r="D39" s="2630"/>
      <c r="E39" s="2630"/>
      <c r="F39" s="2631"/>
      <c r="G39" s="2632"/>
      <c r="H39" s="2632"/>
      <c r="I39" s="2632"/>
    </row>
    <row r="40" spans="2:9" ht="16.5" customHeight="1" x14ac:dyDescent="0.2">
      <c r="B40" s="1199"/>
      <c r="C40" s="2629"/>
      <c r="D40" s="2630"/>
      <c r="E40" s="2630"/>
      <c r="F40" s="2631"/>
      <c r="G40" s="2632"/>
      <c r="H40" s="2632"/>
      <c r="I40" s="2632"/>
    </row>
    <row r="41" spans="2:9" ht="16.5" customHeight="1" x14ac:dyDescent="0.2">
      <c r="B41" s="1199"/>
      <c r="C41" s="2629"/>
      <c r="D41" s="2630"/>
      <c r="E41" s="2630"/>
      <c r="F41" s="2631"/>
      <c r="G41" s="2632"/>
      <c r="H41" s="2632"/>
      <c r="I41" s="2632"/>
    </row>
    <row r="42" spans="2:9" ht="16.5" customHeight="1" x14ac:dyDescent="0.2">
      <c r="B42" s="1199"/>
      <c r="C42" s="2629"/>
      <c r="D42" s="2630"/>
      <c r="E42" s="2630"/>
      <c r="F42" s="2631"/>
      <c r="G42" s="2632"/>
      <c r="H42" s="2632"/>
      <c r="I42" s="2632"/>
    </row>
    <row r="43" spans="2:9" ht="16.5" customHeight="1" x14ac:dyDescent="0.2">
      <c r="B43" s="1199"/>
      <c r="C43" s="2647" t="s">
        <v>1576</v>
      </c>
      <c r="D43" s="2648"/>
      <c r="E43" s="2648"/>
      <c r="F43" s="2649"/>
      <c r="G43" s="2650">
        <f>SUM(G38:I42)</f>
        <v>0</v>
      </c>
      <c r="H43" s="2650"/>
      <c r="I43" s="2650"/>
    </row>
    <row r="44" spans="2:9" ht="12.75" customHeight="1" x14ac:dyDescent="0.2"/>
    <row r="45" spans="2:9" ht="12.75" customHeight="1" x14ac:dyDescent="0.2">
      <c r="B45" s="1917" t="str">
        <f>"Total Federal Expenditures for 7/1/"&amp;MID('AFR20'!E2,3,2)-1&amp;"-6/30/"&amp;MID('AFR20'!E2,3,2)</f>
        <v>Total Federal Expenditures for 7/1/19-6/30/20</v>
      </c>
      <c r="C45" s="1918"/>
      <c r="D45" s="2651">
        <v>0</v>
      </c>
      <c r="E45" s="2652"/>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53"/>
      <c r="F49" s="2653"/>
      <c r="G49" s="2653"/>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Leland CUSD 1</v>
      </c>
      <c r="C1" s="2633"/>
      <c r="D1" s="2633"/>
      <c r="E1" s="2633"/>
      <c r="F1" s="2633"/>
      <c r="G1" s="2633"/>
      <c r="H1" s="2633"/>
      <c r="I1" s="2633"/>
      <c r="J1" s="2633"/>
      <c r="K1" s="2633"/>
      <c r="L1" s="1143"/>
      <c r="M1" s="1143"/>
    </row>
    <row r="2" spans="1:13" ht="12" customHeight="1" x14ac:dyDescent="0.2">
      <c r="B2" s="2635">
        <f>'Single Audit Cover'!E7</f>
        <v>35050001026</v>
      </c>
      <c r="C2" s="2635"/>
      <c r="D2" s="2635"/>
      <c r="E2" s="2635"/>
      <c r="F2" s="2635"/>
      <c r="G2" s="2635"/>
      <c r="H2" s="2635"/>
      <c r="I2" s="2635"/>
      <c r="J2" s="2635"/>
      <c r="K2" s="2635"/>
      <c r="L2" s="1144"/>
      <c r="M2" s="1145"/>
    </row>
    <row r="3" spans="1:13" ht="10.35" customHeight="1" x14ac:dyDescent="0.2">
      <c r="B3" s="2656" t="s">
        <v>1274</v>
      </c>
      <c r="C3" s="2656"/>
      <c r="D3" s="2656"/>
      <c r="E3" s="2656"/>
      <c r="F3" s="2656"/>
      <c r="G3" s="2656"/>
      <c r="H3" s="2656"/>
      <c r="I3" s="2656"/>
      <c r="J3" s="2656"/>
      <c r="K3" s="2656"/>
      <c r="L3" s="1146"/>
      <c r="M3" s="1146"/>
    </row>
    <row r="4" spans="1:13" ht="14.25" customHeight="1" x14ac:dyDescent="0.2">
      <c r="B4" s="2657" t="str">
        <f>'Single Audit Cover'!A4</f>
        <v>Year Ending June 30, 2020</v>
      </c>
      <c r="C4" s="2657"/>
      <c r="D4" s="2657"/>
      <c r="E4" s="2657"/>
      <c r="F4" s="2657"/>
      <c r="G4" s="2657"/>
      <c r="H4" s="2657"/>
      <c r="I4" s="2657"/>
      <c r="J4" s="2657"/>
      <c r="K4" s="2657"/>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57" t="s">
        <v>1285</v>
      </c>
      <c r="C7" s="2657"/>
      <c r="D7" s="2658"/>
      <c r="E7" s="2658"/>
      <c r="F7" s="2658"/>
      <c r="G7" s="2658"/>
      <c r="H7" s="2658"/>
      <c r="I7" s="2658"/>
      <c r="J7" s="2658"/>
      <c r="K7" s="265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55"/>
      <c r="C14" s="2655"/>
      <c r="D14" s="2655"/>
      <c r="E14" s="2655"/>
      <c r="F14" s="2655"/>
      <c r="G14" s="2655"/>
      <c r="H14" s="2655"/>
      <c r="I14" s="2655"/>
      <c r="J14" s="2655"/>
      <c r="K14" s="265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55"/>
      <c r="C17" s="2655"/>
      <c r="D17" s="2655"/>
      <c r="E17" s="2655"/>
      <c r="F17" s="2655"/>
      <c r="G17" s="2655"/>
      <c r="H17" s="2655"/>
      <c r="I17" s="2655"/>
      <c r="J17" s="2655"/>
      <c r="K17" s="2655"/>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59"/>
      <c r="C20" s="2659"/>
      <c r="D20" s="2655"/>
      <c r="E20" s="2655"/>
      <c r="F20" s="2655"/>
      <c r="G20" s="2655"/>
      <c r="H20" s="2655"/>
      <c r="I20" s="2655"/>
      <c r="J20" s="2655"/>
      <c r="K20" s="2655"/>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55"/>
      <c r="C23" s="2655"/>
      <c r="D23" s="2655"/>
      <c r="E23" s="2655"/>
      <c r="F23" s="2655"/>
      <c r="G23" s="2655"/>
      <c r="H23" s="2655"/>
      <c r="I23" s="2655"/>
      <c r="J23" s="2655"/>
      <c r="K23" s="2655"/>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55"/>
      <c r="C26" s="2655"/>
      <c r="D26" s="2655"/>
      <c r="E26" s="2655"/>
      <c r="F26" s="2655"/>
      <c r="G26" s="2655"/>
      <c r="H26" s="2655"/>
      <c r="I26" s="2655"/>
      <c r="J26" s="2655"/>
      <c r="K26" s="2655"/>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54"/>
      <c r="C29" s="2654"/>
      <c r="D29" s="2655"/>
      <c r="E29" s="2655"/>
      <c r="F29" s="2655"/>
      <c r="G29" s="2655"/>
      <c r="H29" s="2655"/>
      <c r="I29" s="2655"/>
      <c r="J29" s="2655"/>
      <c r="K29" s="265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54"/>
      <c r="C32" s="2654"/>
      <c r="D32" s="2655"/>
      <c r="E32" s="2655"/>
      <c r="F32" s="2655"/>
      <c r="G32" s="2655"/>
      <c r="H32" s="2655"/>
      <c r="I32" s="2655"/>
      <c r="J32" s="2655"/>
      <c r="K32" s="265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9990-9EC9-4FF7-AE59-28C063ECE1F5}">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0" t="s">
        <v>2061</v>
      </c>
      <c r="C1" s="2660"/>
      <c r="D1" s="2660"/>
      <c r="E1" s="2660"/>
      <c r="F1" s="2660"/>
      <c r="G1" s="2660"/>
      <c r="H1" s="2660"/>
      <c r="I1" s="2660"/>
      <c r="J1" s="2660"/>
      <c r="K1" s="2660"/>
      <c r="L1" s="2037"/>
      <c r="M1" s="2037"/>
    </row>
    <row r="2" spans="1:13" ht="12" customHeight="1" x14ac:dyDescent="0.2">
      <c r="B2" s="2661" t="s">
        <v>2125</v>
      </c>
      <c r="C2" s="2661"/>
      <c r="D2" s="2661"/>
      <c r="E2" s="2661"/>
      <c r="F2" s="2661"/>
      <c r="G2" s="2661"/>
      <c r="H2" s="2661"/>
      <c r="I2" s="2661"/>
      <c r="J2" s="2661"/>
      <c r="K2" s="2661"/>
      <c r="L2" s="2038"/>
      <c r="M2" s="2039"/>
    </row>
    <row r="3" spans="1:13" ht="10.35" customHeight="1" x14ac:dyDescent="0.2">
      <c r="B3" s="2662" t="s">
        <v>1274</v>
      </c>
      <c r="C3" s="2662"/>
      <c r="D3" s="2662"/>
      <c r="E3" s="2662"/>
      <c r="F3" s="2662"/>
      <c r="G3" s="2662"/>
      <c r="H3" s="2662"/>
      <c r="I3" s="2662"/>
      <c r="J3" s="2662"/>
      <c r="K3" s="2662"/>
      <c r="L3" s="2035"/>
      <c r="M3" s="2035"/>
    </row>
    <row r="4" spans="1:13" ht="14.25" customHeight="1" x14ac:dyDescent="0.2">
      <c r="B4" s="2662" t="str">
        <f>'Single Audit Cover'!A4</f>
        <v>Year Ending June 30, 2020</v>
      </c>
      <c r="C4" s="2662"/>
      <c r="D4" s="2662"/>
      <c r="E4" s="2662"/>
      <c r="F4" s="2662"/>
      <c r="G4" s="2662"/>
      <c r="H4" s="2662"/>
      <c r="I4" s="2662"/>
      <c r="J4" s="2662"/>
      <c r="K4" s="2662"/>
      <c r="L4" s="2035"/>
      <c r="M4" s="2035"/>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0"/>
      <c r="B7" s="2662" t="s">
        <v>1285</v>
      </c>
      <c r="C7" s="2662"/>
      <c r="D7" s="2636"/>
      <c r="E7" s="2636"/>
      <c r="F7" s="2636"/>
      <c r="G7" s="2636"/>
      <c r="H7" s="2636"/>
      <c r="I7" s="2636"/>
      <c r="J7" s="2636"/>
      <c r="K7" s="2636"/>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4" t="s">
        <v>1719</v>
      </c>
      <c r="C10" s="2046" t="s">
        <v>2076</v>
      </c>
      <c r="D10" s="1154">
        <v>1</v>
      </c>
      <c r="F10" s="994" t="s">
        <v>1284</v>
      </c>
      <c r="G10" s="1156"/>
      <c r="H10" s="2047" t="s">
        <v>1283</v>
      </c>
      <c r="I10" s="1156" t="s">
        <v>2051</v>
      </c>
      <c r="J10" s="2048" t="s">
        <v>1282</v>
      </c>
    </row>
    <row r="11" spans="1:13" ht="13.5" customHeight="1" x14ac:dyDescent="0.2">
      <c r="I11" s="2049" t="s">
        <v>1281</v>
      </c>
      <c r="K11" s="1160">
        <v>2015</v>
      </c>
    </row>
    <row r="12" spans="1:13" ht="13.5" customHeight="1" x14ac:dyDescent="0.2">
      <c r="B12" s="2040"/>
      <c r="C12" s="2040"/>
    </row>
    <row r="13" spans="1:13" s="990" customFormat="1" ht="13.5" customHeight="1" x14ac:dyDescent="0.2">
      <c r="B13" s="2050" t="s">
        <v>1280</v>
      </c>
      <c r="C13" s="2050"/>
      <c r="D13" s="2051"/>
      <c r="E13" s="2051"/>
      <c r="F13" s="2051"/>
      <c r="G13" s="2052"/>
      <c r="H13" s="2051"/>
      <c r="I13" s="2052"/>
      <c r="J13" s="2051"/>
      <c r="K13" s="2051"/>
    </row>
    <row r="14" spans="1:13" ht="55.5" customHeight="1" x14ac:dyDescent="0.2">
      <c r="B14" s="2655" t="s">
        <v>2069</v>
      </c>
      <c r="C14" s="2655"/>
      <c r="D14" s="2655"/>
      <c r="E14" s="2655"/>
      <c r="F14" s="2655"/>
      <c r="G14" s="2655"/>
      <c r="H14" s="2655"/>
      <c r="I14" s="2655"/>
      <c r="J14" s="2655"/>
      <c r="K14" s="2655"/>
    </row>
    <row r="15" spans="1:13" ht="4.5" customHeight="1" x14ac:dyDescent="0.2">
      <c r="B15" s="864"/>
      <c r="C15" s="864"/>
    </row>
    <row r="16" spans="1:13" s="990" customFormat="1" ht="13.5" customHeight="1" x14ac:dyDescent="0.2">
      <c r="B16" s="2050" t="s">
        <v>1279</v>
      </c>
      <c r="C16" s="2050"/>
      <c r="D16" s="2051"/>
      <c r="E16" s="2051"/>
      <c r="F16" s="2051"/>
      <c r="G16" s="2052"/>
      <c r="H16" s="2051"/>
      <c r="I16" s="2052"/>
      <c r="J16" s="2051"/>
      <c r="K16" s="2051"/>
    </row>
    <row r="17" spans="2:11" ht="45.75" customHeight="1" x14ac:dyDescent="0.2">
      <c r="B17" s="2655" t="s">
        <v>2070</v>
      </c>
      <c r="C17" s="2655"/>
      <c r="D17" s="2655"/>
      <c r="E17" s="2655"/>
      <c r="F17" s="2655"/>
      <c r="G17" s="2655"/>
      <c r="H17" s="2655"/>
      <c r="I17" s="2655"/>
      <c r="J17" s="2655"/>
      <c r="K17" s="2655"/>
    </row>
    <row r="18" spans="2:11" ht="4.5" customHeight="1" x14ac:dyDescent="0.2">
      <c r="B18" s="864"/>
      <c r="C18" s="864"/>
    </row>
    <row r="19" spans="2:11" s="990" customFormat="1" ht="13.5" customHeight="1" x14ac:dyDescent="0.2">
      <c r="B19" s="2050" t="s">
        <v>1720</v>
      </c>
      <c r="C19" s="2050"/>
      <c r="D19" s="2051"/>
      <c r="E19" s="2051"/>
      <c r="F19" s="2051"/>
      <c r="G19" s="2052"/>
      <c r="H19" s="2051"/>
      <c r="I19" s="2052"/>
      <c r="J19" s="2051"/>
      <c r="K19" s="2051"/>
    </row>
    <row r="20" spans="2:11" ht="45.75" customHeight="1" x14ac:dyDescent="0.2">
      <c r="B20" s="2659" t="s">
        <v>2071</v>
      </c>
      <c r="C20" s="2659"/>
      <c r="D20" s="2655"/>
      <c r="E20" s="2655"/>
      <c r="F20" s="2655"/>
      <c r="G20" s="2655"/>
      <c r="H20" s="2655"/>
      <c r="I20" s="2655"/>
      <c r="J20" s="2655"/>
      <c r="K20" s="2655"/>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 customHeight="1" x14ac:dyDescent="0.2">
      <c r="B23" s="2655" t="s">
        <v>2072</v>
      </c>
      <c r="C23" s="2655"/>
      <c r="D23" s="2655"/>
      <c r="E23" s="2655"/>
      <c r="F23" s="2655"/>
      <c r="G23" s="2655"/>
      <c r="H23" s="2655"/>
      <c r="I23" s="2655"/>
      <c r="J23" s="2655"/>
      <c r="K23" s="2655"/>
    </row>
    <row r="24" spans="2:11" ht="4.5" customHeight="1" x14ac:dyDescent="0.2">
      <c r="B24" s="864"/>
      <c r="C24" s="864"/>
    </row>
    <row r="25" spans="2:11" ht="13.5" customHeight="1" x14ac:dyDescent="0.2">
      <c r="B25" s="2050" t="s">
        <v>1277</v>
      </c>
      <c r="C25" s="2050"/>
      <c r="D25" s="2043"/>
      <c r="E25" s="2043"/>
      <c r="F25" s="2043"/>
      <c r="G25" s="2044"/>
      <c r="H25" s="2043"/>
      <c r="I25" s="2044"/>
      <c r="J25" s="2043"/>
      <c r="K25" s="2043"/>
    </row>
    <row r="26" spans="2:11" ht="45.75" customHeight="1" x14ac:dyDescent="0.2">
      <c r="B26" s="2655" t="s">
        <v>2073</v>
      </c>
      <c r="C26" s="2655"/>
      <c r="D26" s="2655"/>
      <c r="E26" s="2655"/>
      <c r="F26" s="2655"/>
      <c r="G26" s="2655"/>
      <c r="H26" s="2655"/>
      <c r="I26" s="2655"/>
      <c r="J26" s="2655"/>
      <c r="K26" s="2655"/>
    </row>
    <row r="27" spans="2:11" ht="4.5" customHeight="1" x14ac:dyDescent="0.2">
      <c r="B27" s="864"/>
      <c r="C27" s="864"/>
    </row>
    <row r="28" spans="2:11" ht="13.5" customHeight="1" x14ac:dyDescent="0.2">
      <c r="B28" s="2054" t="s">
        <v>1276</v>
      </c>
      <c r="C28" s="2054"/>
      <c r="D28" s="2043"/>
      <c r="E28" s="2043"/>
      <c r="F28" s="2043"/>
      <c r="G28" s="2044"/>
      <c r="H28" s="2043"/>
      <c r="I28" s="2044"/>
      <c r="J28" s="2043"/>
      <c r="K28" s="2043"/>
    </row>
    <row r="29" spans="2:11" ht="45.75" customHeight="1" x14ac:dyDescent="0.2">
      <c r="B29" s="2655" t="s">
        <v>2074</v>
      </c>
      <c r="C29" s="2655"/>
      <c r="D29" s="2655"/>
      <c r="E29" s="2655"/>
      <c r="F29" s="2655"/>
      <c r="G29" s="2655"/>
      <c r="H29" s="2655"/>
      <c r="I29" s="2655"/>
      <c r="J29" s="2655"/>
      <c r="K29" s="2655"/>
    </row>
    <row r="30" spans="2:11" ht="4.5" customHeight="1" x14ac:dyDescent="0.2">
      <c r="B30" s="864"/>
      <c r="C30" s="864"/>
    </row>
    <row r="31" spans="2:11" ht="13.5" customHeight="1" x14ac:dyDescent="0.2">
      <c r="B31" s="2055" t="s">
        <v>1721</v>
      </c>
      <c r="C31" s="2055"/>
      <c r="D31" s="2042"/>
      <c r="E31" s="2043"/>
      <c r="F31" s="2043"/>
      <c r="G31" s="2044"/>
      <c r="H31" s="2043"/>
      <c r="I31" s="2044"/>
      <c r="J31" s="2043"/>
      <c r="K31" s="2043"/>
    </row>
    <row r="32" spans="2:11" ht="44.25" customHeight="1" x14ac:dyDescent="0.2">
      <c r="B32" s="2655" t="s">
        <v>2075</v>
      </c>
      <c r="C32" s="2655"/>
      <c r="D32" s="2655"/>
      <c r="E32" s="2655"/>
      <c r="F32" s="2655"/>
      <c r="G32" s="2655"/>
      <c r="H32" s="2655"/>
      <c r="I32" s="2655"/>
      <c r="J32" s="2655"/>
      <c r="K32" s="2655"/>
    </row>
    <row r="33" spans="1:13" ht="4.5" customHeight="1" x14ac:dyDescent="0.2">
      <c r="B33" s="864"/>
      <c r="C33" s="864"/>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7" t="s">
        <v>1813</v>
      </c>
      <c r="C36" s="997"/>
    </row>
    <row r="37" spans="1:13" ht="9.6" customHeight="1" x14ac:dyDescent="0.2">
      <c r="B37" s="997" t="s">
        <v>1814</v>
      </c>
      <c r="C37" s="997"/>
    </row>
    <row r="38" spans="1:13" ht="11.85" customHeight="1" x14ac:dyDescent="0.2">
      <c r="B38" s="2058" t="s">
        <v>1723</v>
      </c>
      <c r="C38" s="2058"/>
    </row>
    <row r="39" spans="1:13" ht="9.6" customHeight="1" x14ac:dyDescent="0.2">
      <c r="B39" s="997" t="s">
        <v>1275</v>
      </c>
      <c r="C39" s="997"/>
      <c r="M39" s="2059"/>
    </row>
    <row r="40" spans="1:13" ht="12.6" customHeight="1" x14ac:dyDescent="0.2">
      <c r="B40" s="2058" t="s">
        <v>1724</v>
      </c>
      <c r="C40" s="2058"/>
      <c r="M40" s="2059"/>
    </row>
    <row r="41" spans="1:13" ht="9.6" customHeight="1" x14ac:dyDescent="0.2">
      <c r="B41" s="997"/>
      <c r="C41" s="997"/>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5431-2973-4A35-AACB-107C46D40D16}">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Leland CUSD 1</v>
      </c>
      <c r="C1" s="2633"/>
      <c r="D1" s="2633"/>
      <c r="E1" s="2633"/>
      <c r="F1" s="2633"/>
      <c r="G1" s="2633"/>
      <c r="H1" s="2633"/>
      <c r="I1" s="2633"/>
      <c r="J1" s="2633"/>
      <c r="K1" s="2633"/>
      <c r="L1" s="1143"/>
      <c r="M1" s="1143"/>
    </row>
    <row r="2" spans="1:13" ht="12" customHeight="1" x14ac:dyDescent="0.2">
      <c r="B2" s="2635">
        <f>'Single Audit Cover'!E7</f>
        <v>35050001026</v>
      </c>
      <c r="C2" s="2635"/>
      <c r="D2" s="2635"/>
      <c r="E2" s="2635"/>
      <c r="F2" s="2635"/>
      <c r="G2" s="2635"/>
      <c r="H2" s="2635"/>
      <c r="I2" s="2635"/>
      <c r="J2" s="2635"/>
      <c r="K2" s="2635"/>
      <c r="L2" s="1144"/>
      <c r="M2" s="1145"/>
    </row>
    <row r="3" spans="1:13" ht="10.35" customHeight="1" x14ac:dyDescent="0.2">
      <c r="B3" s="2656" t="s">
        <v>1274</v>
      </c>
      <c r="C3" s="2656"/>
      <c r="D3" s="2656"/>
      <c r="E3" s="2656"/>
      <c r="F3" s="2656"/>
      <c r="G3" s="2656"/>
      <c r="H3" s="2656"/>
      <c r="I3" s="2656"/>
      <c r="J3" s="2656"/>
      <c r="K3" s="2656"/>
      <c r="L3" s="2036"/>
      <c r="M3" s="2036"/>
    </row>
    <row r="4" spans="1:13" ht="14.25" customHeight="1" x14ac:dyDescent="0.2">
      <c r="B4" s="2657" t="str">
        <f>'Single Audit Cover'!A4</f>
        <v>Year Ending June 30, 2020</v>
      </c>
      <c r="C4" s="2657"/>
      <c r="D4" s="2657"/>
      <c r="E4" s="2657"/>
      <c r="F4" s="2657"/>
      <c r="G4" s="2657"/>
      <c r="H4" s="2657"/>
      <c r="I4" s="2657"/>
      <c r="J4" s="2657"/>
      <c r="K4" s="2657"/>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57" t="s">
        <v>1285</v>
      </c>
      <c r="C7" s="2657"/>
      <c r="D7" s="2658"/>
      <c r="E7" s="2658"/>
      <c r="F7" s="2658"/>
      <c r="G7" s="2658"/>
      <c r="H7" s="2658"/>
      <c r="I7" s="2658"/>
      <c r="J7" s="2658"/>
      <c r="K7" s="265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v>2</v>
      </c>
      <c r="E10" s="300"/>
      <c r="F10" s="1155" t="s">
        <v>1284</v>
      </c>
      <c r="G10" s="1156" t="s">
        <v>2051</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55" t="s">
        <v>2095</v>
      </c>
      <c r="C14" s="2655"/>
      <c r="D14" s="2655"/>
      <c r="E14" s="2655"/>
      <c r="F14" s="2655"/>
      <c r="G14" s="2655"/>
      <c r="H14" s="2655"/>
      <c r="I14" s="2655"/>
      <c r="J14" s="2655"/>
      <c r="K14" s="265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55" t="s">
        <v>2096</v>
      </c>
      <c r="C17" s="2655"/>
      <c r="D17" s="2655"/>
      <c r="E17" s="2655"/>
      <c r="F17" s="2655"/>
      <c r="G17" s="2655"/>
      <c r="H17" s="2655"/>
      <c r="I17" s="2655"/>
      <c r="J17" s="2655"/>
      <c r="K17" s="2655"/>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59" t="s">
        <v>2097</v>
      </c>
      <c r="C20" s="2659"/>
      <c r="D20" s="2655"/>
      <c r="E20" s="2655"/>
      <c r="F20" s="2655"/>
      <c r="G20" s="2655"/>
      <c r="H20" s="2655"/>
      <c r="I20" s="2655"/>
      <c r="J20" s="2655"/>
      <c r="K20" s="2655"/>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55" t="s">
        <v>2098</v>
      </c>
      <c r="C23" s="2655"/>
      <c r="D23" s="2655"/>
      <c r="E23" s="2655"/>
      <c r="F23" s="2655"/>
      <c r="G23" s="2655"/>
      <c r="H23" s="2655"/>
      <c r="I23" s="2655"/>
      <c r="J23" s="2655"/>
      <c r="K23" s="2655"/>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55" t="s">
        <v>2099</v>
      </c>
      <c r="C26" s="2655"/>
      <c r="D26" s="2655"/>
      <c r="E26" s="2655"/>
      <c r="F26" s="2655"/>
      <c r="G26" s="2655"/>
      <c r="H26" s="2655"/>
      <c r="I26" s="2655"/>
      <c r="J26" s="2655"/>
      <c r="K26" s="2655"/>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54" t="s">
        <v>2100</v>
      </c>
      <c r="C29" s="2654"/>
      <c r="D29" s="2655"/>
      <c r="E29" s="2655"/>
      <c r="F29" s="2655"/>
      <c r="G29" s="2655"/>
      <c r="H29" s="2655"/>
      <c r="I29" s="2655"/>
      <c r="J29" s="2655"/>
      <c r="K29" s="265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54" t="s">
        <v>2101</v>
      </c>
      <c r="C32" s="2654"/>
      <c r="D32" s="2655"/>
      <c r="E32" s="2655"/>
      <c r="F32" s="2655"/>
      <c r="G32" s="2655"/>
      <c r="H32" s="2655"/>
      <c r="I32" s="2655"/>
      <c r="J32" s="2655"/>
      <c r="K32" s="265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3" t="str">
        <f>'Single Audit Cover'!A7</f>
        <v>Leland CUSD 1</v>
      </c>
      <c r="C1" s="2663"/>
      <c r="D1" s="2663"/>
      <c r="E1" s="2663"/>
      <c r="F1" s="2663"/>
      <c r="G1" s="2663"/>
      <c r="H1" s="2663"/>
      <c r="I1" s="2663"/>
      <c r="J1" s="2663"/>
      <c r="K1" s="2663"/>
      <c r="L1" s="1220"/>
    </row>
    <row r="2" spans="1:12" ht="12.75" customHeight="1" x14ac:dyDescent="0.2">
      <c r="B2" s="2664">
        <f>'Single Audit Cover'!E7</f>
        <v>35050001026</v>
      </c>
      <c r="C2" s="2664"/>
      <c r="D2" s="2664"/>
      <c r="E2" s="2664"/>
      <c r="F2" s="2664"/>
      <c r="G2" s="2664"/>
      <c r="H2" s="2664"/>
      <c r="I2" s="2664"/>
      <c r="J2" s="2664"/>
      <c r="K2" s="2664"/>
      <c r="L2" s="1221"/>
    </row>
    <row r="3" spans="1:12" ht="12.75" customHeight="1" x14ac:dyDescent="0.2">
      <c r="B3" s="2656" t="s">
        <v>1274</v>
      </c>
      <c r="C3" s="2656"/>
      <c r="D3" s="2656"/>
      <c r="E3" s="2656"/>
      <c r="F3" s="2656"/>
      <c r="G3" s="2656"/>
      <c r="H3" s="2656"/>
      <c r="I3" s="2656"/>
      <c r="J3" s="2656"/>
      <c r="K3" s="2656"/>
      <c r="L3" s="1146"/>
    </row>
    <row r="4" spans="1:12" ht="12.75" customHeight="1" x14ac:dyDescent="0.2">
      <c r="B4" s="2656" t="str">
        <f>'Single Audit Cover'!A4</f>
        <v>Year Ending June 30, 2020</v>
      </c>
      <c r="C4" s="2656"/>
      <c r="D4" s="2656"/>
      <c r="E4" s="2656"/>
      <c r="F4" s="2656"/>
      <c r="G4" s="2656"/>
      <c r="H4" s="2656"/>
      <c r="I4" s="2656"/>
      <c r="J4" s="2656"/>
      <c r="K4" s="2656"/>
      <c r="L4" s="1146"/>
    </row>
    <row r="5" spans="1:12" ht="5.25" customHeight="1" x14ac:dyDescent="0.2">
      <c r="B5" s="1035" t="s">
        <v>1159</v>
      </c>
      <c r="C5" s="1035"/>
      <c r="L5" s="300"/>
    </row>
    <row r="6" spans="1:12" ht="30.75" customHeight="1" x14ac:dyDescent="0.2">
      <c r="A6" s="300"/>
      <c r="B6" s="2665" t="s">
        <v>1297</v>
      </c>
      <c r="C6" s="2665"/>
      <c r="D6" s="2665"/>
      <c r="E6" s="2665"/>
      <c r="F6" s="2665"/>
      <c r="G6" s="2665"/>
      <c r="H6" s="2665"/>
      <c r="I6" s="2665"/>
      <c r="J6" s="2665"/>
      <c r="K6" s="2665"/>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9"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40"/>
      <c r="G12" s="2640"/>
      <c r="H12" s="2640"/>
      <c r="I12" s="2640"/>
      <c r="J12" s="2640"/>
      <c r="K12" s="2640"/>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66"/>
      <c r="E14" s="2666"/>
      <c r="F14" s="2666"/>
      <c r="H14" s="1229" t="s">
        <v>1292</v>
      </c>
      <c r="I14" s="2667"/>
      <c r="J14" s="2667"/>
      <c r="K14" s="266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67"/>
      <c r="E16" s="2667"/>
      <c r="F16" s="2667"/>
      <c r="G16" s="2667"/>
      <c r="H16" s="2667"/>
      <c r="I16" s="2667"/>
      <c r="J16" s="2667"/>
      <c r="K16" s="2667"/>
      <c r="L16" s="300"/>
    </row>
    <row r="17" spans="2:12" ht="13.5" customHeight="1" x14ac:dyDescent="0.2">
      <c r="B17" s="1155" t="s">
        <v>1290</v>
      </c>
      <c r="C17" s="1155"/>
      <c r="D17" s="2668"/>
      <c r="E17" s="2668"/>
      <c r="F17" s="2668"/>
      <c r="G17" s="2668"/>
      <c r="H17" s="2668"/>
      <c r="I17" s="2668"/>
      <c r="J17" s="2668"/>
      <c r="K17" s="266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55"/>
      <c r="C20" s="2655"/>
      <c r="D20" s="2655"/>
      <c r="E20" s="2655"/>
      <c r="F20" s="2655"/>
      <c r="G20" s="2655"/>
      <c r="H20" s="2655"/>
      <c r="I20" s="2655"/>
      <c r="J20" s="2655"/>
      <c r="K20" s="265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55"/>
      <c r="C23" s="2655"/>
      <c r="D23" s="2655"/>
      <c r="E23" s="2655"/>
      <c r="F23" s="2655"/>
      <c r="G23" s="2655"/>
      <c r="H23" s="2655"/>
      <c r="I23" s="2655"/>
      <c r="J23" s="2655"/>
      <c r="K23" s="265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55"/>
      <c r="C26" s="2655"/>
      <c r="D26" s="2655"/>
      <c r="E26" s="2655"/>
      <c r="F26" s="2655"/>
      <c r="G26" s="2655"/>
      <c r="H26" s="2655"/>
      <c r="I26" s="2655"/>
      <c r="J26" s="2655"/>
      <c r="K26" s="265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55"/>
      <c r="C29" s="2655"/>
      <c r="D29" s="2655"/>
      <c r="E29" s="2655"/>
      <c r="F29" s="2655"/>
      <c r="G29" s="2655"/>
      <c r="H29" s="2655"/>
      <c r="I29" s="2655"/>
      <c r="J29" s="2655"/>
      <c r="K29" s="265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55"/>
      <c r="C32" s="2655"/>
      <c r="D32" s="2655"/>
      <c r="E32" s="2655"/>
      <c r="F32" s="2655"/>
      <c r="G32" s="2655"/>
      <c r="H32" s="2655"/>
      <c r="I32" s="2655"/>
      <c r="J32" s="2655"/>
      <c r="K32" s="265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55"/>
      <c r="C35" s="2655"/>
      <c r="D35" s="2655"/>
      <c r="E35" s="2655"/>
      <c r="F35" s="2655"/>
      <c r="G35" s="2655"/>
      <c r="H35" s="2655"/>
      <c r="I35" s="2655"/>
      <c r="J35" s="2655"/>
      <c r="K35" s="265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55"/>
      <c r="C38" s="2655"/>
      <c r="D38" s="2655"/>
      <c r="E38" s="2655"/>
      <c r="F38" s="2655"/>
      <c r="G38" s="2655"/>
      <c r="H38" s="2655"/>
      <c r="I38" s="2655"/>
      <c r="J38" s="2655"/>
      <c r="K38" s="265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55"/>
      <c r="C41" s="2655"/>
      <c r="D41" s="2655"/>
      <c r="E41" s="2655"/>
      <c r="F41" s="2655"/>
      <c r="G41" s="2655"/>
      <c r="H41" s="2655"/>
      <c r="I41" s="2655"/>
      <c r="J41" s="2655"/>
      <c r="K41" s="265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33" t="str">
        <f>'Single Audit Cover'!A7</f>
        <v>Leland CUSD 1</v>
      </c>
      <c r="C1" s="2633"/>
      <c r="D1" s="2633"/>
      <c r="E1" s="1239"/>
    </row>
    <row r="2" spans="2:5" s="1057" customFormat="1" ht="12.75" customHeight="1" x14ac:dyDescent="0.2">
      <c r="B2" s="2635">
        <f>'Single Audit Cover'!E7</f>
        <v>35050001026</v>
      </c>
      <c r="C2" s="2635"/>
      <c r="D2" s="2635"/>
      <c r="E2" s="1240"/>
    </row>
    <row r="3" spans="2:5" ht="12.75" customHeight="1" x14ac:dyDescent="0.2">
      <c r="B3" s="2656" t="s">
        <v>1743</v>
      </c>
      <c r="C3" s="2656"/>
      <c r="D3" s="2656"/>
      <c r="E3" s="1049"/>
    </row>
    <row r="4" spans="2:5" s="1057" customFormat="1" ht="12.75" customHeight="1" x14ac:dyDescent="0.2">
      <c r="B4" s="2669" t="str">
        <f>'Single Audit Cover'!A4</f>
        <v>Year Ending June 30, 2020</v>
      </c>
      <c r="C4" s="2669"/>
      <c r="D4" s="2669"/>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t="s">
        <v>2092</v>
      </c>
      <c r="C7" s="302" t="s">
        <v>2093</v>
      </c>
      <c r="D7" s="302" t="s">
        <v>2094</v>
      </c>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AB969-B705-4864-BBE0-822C82A87D93}">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1" t="s">
        <v>2061</v>
      </c>
      <c r="C1" s="2671"/>
      <c r="D1" s="2671"/>
      <c r="E1" s="2671"/>
      <c r="F1" s="2060"/>
      <c r="G1" s="2060"/>
      <c r="H1" s="2060"/>
      <c r="I1" s="2060"/>
      <c r="J1" s="2060"/>
      <c r="K1" s="2060"/>
      <c r="L1" s="2060"/>
    </row>
    <row r="2" spans="2:12" ht="13.5" customHeight="1" x14ac:dyDescent="0.2">
      <c r="B2" s="2672" t="s">
        <v>2125</v>
      </c>
      <c r="C2" s="2672"/>
      <c r="D2" s="2672"/>
      <c r="E2" s="2672"/>
      <c r="F2" s="2062"/>
      <c r="G2" s="2062"/>
      <c r="H2" s="2062"/>
      <c r="I2" s="2062"/>
      <c r="J2" s="2062"/>
      <c r="K2" s="2062"/>
      <c r="L2" s="2062"/>
    </row>
    <row r="3" spans="2:12" ht="13.5" customHeight="1" x14ac:dyDescent="0.2">
      <c r="B3" s="2673" t="s">
        <v>2077</v>
      </c>
      <c r="C3" s="2673"/>
      <c r="D3" s="2673"/>
      <c r="E3" s="2673"/>
      <c r="F3" s="2063"/>
      <c r="G3" s="2063"/>
      <c r="H3" s="2063"/>
      <c r="I3" s="2063"/>
      <c r="J3" s="2063"/>
      <c r="K3" s="2063"/>
      <c r="L3" s="2063"/>
    </row>
    <row r="4" spans="2:12" ht="13.5" customHeight="1" x14ac:dyDescent="0.2">
      <c r="B4" s="2674" t="s">
        <v>2126</v>
      </c>
      <c r="C4" s="2674"/>
      <c r="D4" s="2674"/>
      <c r="E4" s="2674"/>
      <c r="F4" s="2064"/>
      <c r="G4" s="2064"/>
      <c r="H4" s="2064"/>
      <c r="I4" s="2064"/>
      <c r="J4" s="2064"/>
      <c r="K4" s="2064"/>
      <c r="L4" s="2064"/>
    </row>
    <row r="5" spans="2:12" ht="29.85" customHeight="1" x14ac:dyDescent="0.2"/>
    <row r="6" spans="2:12" ht="13.5" customHeight="1" x14ac:dyDescent="0.2">
      <c r="B6" s="2065" t="s">
        <v>2078</v>
      </c>
      <c r="C6" s="2065"/>
      <c r="D6" s="2066"/>
      <c r="E6" s="2067"/>
      <c r="F6" s="2067"/>
      <c r="G6" s="2068"/>
      <c r="H6" s="2068"/>
      <c r="I6" s="2068"/>
    </row>
    <row r="7" spans="2:12" ht="13.5" customHeight="1" x14ac:dyDescent="0.2">
      <c r="B7" s="2061" t="s">
        <v>1159</v>
      </c>
    </row>
    <row r="8" spans="2:12" ht="13.5" customHeight="1" x14ac:dyDescent="0.2">
      <c r="B8" s="2069" t="s">
        <v>2079</v>
      </c>
      <c r="C8" s="2070" t="s">
        <v>2076</v>
      </c>
      <c r="D8" s="2071">
        <v>1</v>
      </c>
    </row>
    <row r="9" spans="2:12" ht="13.5" customHeight="1" x14ac:dyDescent="0.2">
      <c r="B9" s="2072"/>
      <c r="C9" s="2072"/>
      <c r="D9" s="2072"/>
    </row>
    <row r="10" spans="2:12" ht="13.5" customHeight="1" x14ac:dyDescent="0.2">
      <c r="B10" s="2069" t="s">
        <v>2080</v>
      </c>
      <c r="C10" s="2069"/>
    </row>
    <row r="11" spans="2:12" ht="66.75" customHeight="1" x14ac:dyDescent="0.2">
      <c r="B11" s="2670" t="s">
        <v>2070</v>
      </c>
      <c r="C11" s="2670"/>
      <c r="D11" s="2670"/>
      <c r="E11" s="2670"/>
    </row>
    <row r="12" spans="2:12" ht="13.5" customHeight="1" x14ac:dyDescent="0.2"/>
    <row r="13" spans="2:12" ht="13.5" customHeight="1" x14ac:dyDescent="0.2">
      <c r="B13" s="2069" t="s">
        <v>2081</v>
      </c>
      <c r="C13" s="2069"/>
    </row>
    <row r="14" spans="2:12" ht="76.5" customHeight="1" x14ac:dyDescent="0.2">
      <c r="B14" s="2670" t="s">
        <v>2082</v>
      </c>
      <c r="C14" s="2670"/>
      <c r="D14" s="2670"/>
      <c r="E14" s="2670"/>
    </row>
    <row r="15" spans="2:12" ht="13.5" customHeight="1" x14ac:dyDescent="0.2"/>
    <row r="16" spans="2:12" ht="13.5" customHeight="1" x14ac:dyDescent="0.2">
      <c r="B16" s="2069" t="s">
        <v>2083</v>
      </c>
      <c r="C16" s="2069"/>
      <c r="E16" s="2073" t="s">
        <v>2091</v>
      </c>
    </row>
    <row r="17" spans="2:5" ht="13.5" customHeight="1" x14ac:dyDescent="0.2"/>
    <row r="18" spans="2:5" ht="13.5" customHeight="1" x14ac:dyDescent="0.2">
      <c r="B18" s="2069" t="s">
        <v>2085</v>
      </c>
      <c r="C18" s="2069"/>
      <c r="E18" s="2074" t="s">
        <v>2086</v>
      </c>
    </row>
    <row r="19" spans="2:5" ht="13.5" customHeight="1" x14ac:dyDescent="0.2"/>
    <row r="20" spans="2:5" ht="13.5" customHeight="1" x14ac:dyDescent="0.2">
      <c r="B20" s="2069" t="s">
        <v>2087</v>
      </c>
      <c r="C20" s="2069"/>
      <c r="E20" s="2074" t="s">
        <v>2088</v>
      </c>
    </row>
    <row r="21" spans="2:5" ht="13.5" customHeight="1" x14ac:dyDescent="0.2">
      <c r="E21" s="2074" t="s">
        <v>2089</v>
      </c>
    </row>
    <row r="22" spans="2:5" ht="13.5" customHeight="1" x14ac:dyDescent="0.2">
      <c r="E22" s="2074"/>
    </row>
    <row r="23" spans="2:5" ht="13.5" customHeight="1" x14ac:dyDescent="0.2"/>
    <row r="24" spans="2:5" ht="13.5" customHeight="1" x14ac:dyDescent="0.2"/>
    <row r="25" spans="2:5" ht="13.5" customHeight="1" x14ac:dyDescent="0.2">
      <c r="B25" s="2075"/>
      <c r="C25" s="2075"/>
      <c r="D25" s="2075"/>
    </row>
    <row r="26" spans="2:5" ht="13.5" customHeight="1" x14ac:dyDescent="0.2">
      <c r="B26" s="2075"/>
      <c r="C26" s="2075"/>
      <c r="D26" s="2075"/>
    </row>
    <row r="27" spans="2:5" ht="13.5" customHeight="1" x14ac:dyDescent="0.2">
      <c r="B27" s="2075"/>
      <c r="C27" s="2075"/>
      <c r="D27" s="20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6"/>
      <c r="C35" s="2076"/>
      <c r="D35" s="2076"/>
    </row>
    <row r="36" spans="2:5" ht="13.5" customHeight="1" x14ac:dyDescent="0.2"/>
    <row r="37" spans="2:5" ht="13.5" customHeight="1" x14ac:dyDescent="0.2">
      <c r="B37" s="2076"/>
      <c r="C37" s="2076"/>
      <c r="D37" s="2076"/>
    </row>
    <row r="38" spans="2:5" ht="13.5" customHeight="1" x14ac:dyDescent="0.2">
      <c r="B38" s="2076"/>
      <c r="C38" s="2076"/>
      <c r="D38" s="2076"/>
    </row>
    <row r="39" spans="2:5" ht="13.5" customHeight="1" x14ac:dyDescent="0.2">
      <c r="B39" s="2076"/>
      <c r="C39" s="2076"/>
      <c r="D39" s="2076"/>
    </row>
    <row r="40" spans="2:5" ht="13.5" customHeight="1" x14ac:dyDescent="0.2">
      <c r="B40" s="2076"/>
      <c r="C40" s="2076"/>
      <c r="D40" s="2076"/>
    </row>
    <row r="41" spans="2:5" ht="13.5" customHeight="1" x14ac:dyDescent="0.2">
      <c r="B41" s="2077"/>
      <c r="C41" s="2077"/>
      <c r="D41" s="2077"/>
      <c r="E41" s="2077"/>
    </row>
    <row r="42" spans="2:5" ht="12.2" customHeight="1" x14ac:dyDescent="0.2">
      <c r="B42" s="2078" t="s">
        <v>2090</v>
      </c>
      <c r="C42" s="2078"/>
      <c r="D42" s="2078"/>
    </row>
    <row r="43" spans="2:5" ht="12.2" customHeight="1" x14ac:dyDescent="0.2">
      <c r="B43" s="2079"/>
      <c r="C43" s="2079"/>
      <c r="D43" s="2079"/>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0"/>
      <c r="C51" s="2080"/>
      <c r="D51" s="20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69"/>
      <c r="C65" s="2069"/>
      <c r="D65" s="2069"/>
    </row>
    <row r="66" spans="2:4" x14ac:dyDescent="0.2">
      <c r="B66" s="2069"/>
      <c r="C66" s="2069"/>
      <c r="D66" s="2069"/>
    </row>
    <row r="67" spans="2:4" x14ac:dyDescent="0.2">
      <c r="B67" s="2081"/>
      <c r="C67" s="2081"/>
      <c r="D67" s="2081"/>
    </row>
    <row r="68" spans="2:4" x14ac:dyDescent="0.2">
      <c r="B68" s="2081"/>
      <c r="C68" s="2081"/>
      <c r="D68" s="2081"/>
    </row>
    <row r="69" spans="2:4" x14ac:dyDescent="0.2">
      <c r="B69" s="2081"/>
      <c r="C69" s="2081"/>
      <c r="D69" s="2081"/>
    </row>
    <row r="70" spans="2:4" x14ac:dyDescent="0.2">
      <c r="B70" s="2069"/>
      <c r="C70" s="2069"/>
      <c r="D70" s="2069"/>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FF50C-7EB8-4718-8785-71BEEA697036}">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1" t="str">
        <f>'Single Audit Cover'!A7</f>
        <v>Leland CUSD 1</v>
      </c>
      <c r="C1" s="2671"/>
      <c r="D1" s="2671"/>
      <c r="E1" s="2671"/>
      <c r="F1" s="2060"/>
      <c r="G1" s="2060"/>
      <c r="H1" s="2060"/>
      <c r="I1" s="2060"/>
      <c r="J1" s="2060"/>
      <c r="K1" s="2060"/>
      <c r="L1" s="2060"/>
    </row>
    <row r="2" spans="2:12" ht="13.5" customHeight="1" x14ac:dyDescent="0.2">
      <c r="B2" s="2672">
        <f>'Single Audit Cover'!E7</f>
        <v>35050001026</v>
      </c>
      <c r="C2" s="2672"/>
      <c r="D2" s="2672"/>
      <c r="E2" s="2672"/>
      <c r="F2" s="2062"/>
      <c r="G2" s="2062"/>
      <c r="H2" s="2062"/>
      <c r="I2" s="2062"/>
      <c r="J2" s="2062"/>
      <c r="K2" s="2062"/>
      <c r="L2" s="2062"/>
    </row>
    <row r="3" spans="2:12" ht="13.5" customHeight="1" x14ac:dyDescent="0.2">
      <c r="B3" s="2673" t="s">
        <v>2077</v>
      </c>
      <c r="C3" s="2673"/>
      <c r="D3" s="2673"/>
      <c r="E3" s="2673"/>
      <c r="F3" s="2063"/>
      <c r="G3" s="2063"/>
      <c r="H3" s="2063"/>
      <c r="I3" s="2063"/>
      <c r="J3" s="2063"/>
      <c r="K3" s="2063"/>
      <c r="L3" s="2063"/>
    </row>
    <row r="4" spans="2:12" ht="13.5" customHeight="1" x14ac:dyDescent="0.2">
      <c r="B4" s="2674" t="s">
        <v>2126</v>
      </c>
      <c r="C4" s="2674"/>
      <c r="D4" s="2674"/>
      <c r="E4" s="2674"/>
      <c r="F4" s="2064"/>
      <c r="G4" s="2064"/>
      <c r="H4" s="2064"/>
      <c r="I4" s="2064"/>
      <c r="J4" s="2064"/>
      <c r="K4" s="2064"/>
      <c r="L4" s="2064"/>
    </row>
    <row r="5" spans="2:12" ht="29.85" customHeight="1" x14ac:dyDescent="0.2"/>
    <row r="6" spans="2:12" ht="13.5" customHeight="1" x14ac:dyDescent="0.2">
      <c r="B6" s="2065" t="s">
        <v>2078</v>
      </c>
      <c r="C6" s="2065"/>
      <c r="D6" s="2066"/>
      <c r="E6" s="2067"/>
      <c r="F6" s="2067"/>
      <c r="G6" s="2068"/>
      <c r="H6" s="2068"/>
      <c r="I6" s="2068"/>
    </row>
    <row r="7" spans="2:12" ht="13.5" customHeight="1" x14ac:dyDescent="0.2">
      <c r="B7" s="2061" t="s">
        <v>1159</v>
      </c>
    </row>
    <row r="8" spans="2:12" ht="13.5" customHeight="1" x14ac:dyDescent="0.2">
      <c r="B8" s="2069" t="s">
        <v>2079</v>
      </c>
      <c r="C8" s="2070" t="s">
        <v>2076</v>
      </c>
      <c r="D8" s="2071">
        <v>2</v>
      </c>
    </row>
    <row r="9" spans="2:12" ht="13.5" customHeight="1" x14ac:dyDescent="0.2">
      <c r="B9" s="2072"/>
      <c r="C9" s="2072"/>
      <c r="D9" s="2072"/>
    </row>
    <row r="10" spans="2:12" ht="13.5" customHeight="1" x14ac:dyDescent="0.2">
      <c r="B10" s="2069" t="s">
        <v>2080</v>
      </c>
      <c r="C10" s="2069"/>
    </row>
    <row r="11" spans="2:12" ht="66.75" customHeight="1" x14ac:dyDescent="0.2">
      <c r="B11" s="2670" t="s">
        <v>2102</v>
      </c>
      <c r="C11" s="2670"/>
      <c r="D11" s="2670"/>
      <c r="E11" s="2670"/>
    </row>
    <row r="12" spans="2:12" ht="13.5" customHeight="1" x14ac:dyDescent="0.2"/>
    <row r="13" spans="2:12" ht="13.5" customHeight="1" x14ac:dyDescent="0.2">
      <c r="B13" s="2069" t="s">
        <v>2081</v>
      </c>
      <c r="C13" s="2069"/>
    </row>
    <row r="14" spans="2:12" ht="76.5" customHeight="1" x14ac:dyDescent="0.2">
      <c r="B14" s="2670" t="s">
        <v>2103</v>
      </c>
      <c r="C14" s="2670"/>
      <c r="D14" s="2670"/>
      <c r="E14" s="2670"/>
    </row>
    <row r="15" spans="2:12" ht="13.5" customHeight="1" x14ac:dyDescent="0.2"/>
    <row r="16" spans="2:12" ht="13.5" customHeight="1" x14ac:dyDescent="0.2">
      <c r="B16" s="2069" t="s">
        <v>2083</v>
      </c>
      <c r="C16" s="2069"/>
      <c r="E16" s="2082" t="s">
        <v>2084</v>
      </c>
    </row>
    <row r="17" spans="2:5" ht="13.5" customHeight="1" x14ac:dyDescent="0.2"/>
    <row r="18" spans="2:5" ht="13.5" customHeight="1" x14ac:dyDescent="0.2">
      <c r="B18" s="2069" t="s">
        <v>2085</v>
      </c>
      <c r="C18" s="2069"/>
      <c r="E18" s="2074" t="s">
        <v>2086</v>
      </c>
    </row>
    <row r="19" spans="2:5" ht="13.5" customHeight="1" x14ac:dyDescent="0.2"/>
    <row r="20" spans="2:5" ht="13.5" customHeight="1" x14ac:dyDescent="0.2">
      <c r="B20" s="2069" t="s">
        <v>2087</v>
      </c>
      <c r="C20" s="2069"/>
      <c r="E20" s="2074" t="s">
        <v>2104</v>
      </c>
    </row>
    <row r="21" spans="2:5" ht="13.5" customHeight="1" x14ac:dyDescent="0.2">
      <c r="E21" s="2074"/>
    </row>
    <row r="22" spans="2:5" ht="13.5" customHeight="1" x14ac:dyDescent="0.2">
      <c r="E22" s="2074"/>
    </row>
    <row r="23" spans="2:5" ht="13.5" customHeight="1" x14ac:dyDescent="0.2"/>
    <row r="24" spans="2:5" ht="13.5" customHeight="1" x14ac:dyDescent="0.2"/>
    <row r="25" spans="2:5" ht="13.5" customHeight="1" x14ac:dyDescent="0.2">
      <c r="B25" s="2075"/>
      <c r="C25" s="2075"/>
      <c r="D25" s="2075"/>
    </row>
    <row r="26" spans="2:5" ht="13.5" customHeight="1" x14ac:dyDescent="0.2">
      <c r="B26" s="2075"/>
      <c r="C26" s="2075"/>
      <c r="D26" s="2075"/>
    </row>
    <row r="27" spans="2:5" ht="13.5" customHeight="1" x14ac:dyDescent="0.2">
      <c r="B27" s="2075"/>
      <c r="C27" s="2075"/>
      <c r="D27" s="20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6"/>
      <c r="C35" s="2076"/>
      <c r="D35" s="2076"/>
    </row>
    <row r="36" spans="2:5" ht="13.5" customHeight="1" x14ac:dyDescent="0.2"/>
    <row r="37" spans="2:5" ht="13.5" customHeight="1" x14ac:dyDescent="0.2">
      <c r="B37" s="2076"/>
      <c r="C37" s="2076"/>
      <c r="D37" s="2076"/>
    </row>
    <row r="38" spans="2:5" ht="13.5" customHeight="1" x14ac:dyDescent="0.2">
      <c r="B38" s="2076"/>
      <c r="C38" s="2076"/>
      <c r="D38" s="2076"/>
    </row>
    <row r="39" spans="2:5" ht="13.5" customHeight="1" x14ac:dyDescent="0.2">
      <c r="B39" s="2076"/>
      <c r="C39" s="2076"/>
      <c r="D39" s="2076"/>
    </row>
    <row r="40" spans="2:5" ht="13.5" customHeight="1" x14ac:dyDescent="0.2">
      <c r="B40" s="2076"/>
      <c r="C40" s="2076"/>
      <c r="D40" s="2076"/>
    </row>
    <row r="41" spans="2:5" ht="13.5" customHeight="1" x14ac:dyDescent="0.2">
      <c r="B41" s="2077"/>
      <c r="C41" s="2077"/>
      <c r="D41" s="2077"/>
      <c r="E41" s="2077"/>
    </row>
    <row r="42" spans="2:5" ht="12.2" customHeight="1" x14ac:dyDescent="0.2">
      <c r="B42" s="2078" t="s">
        <v>2090</v>
      </c>
      <c r="C42" s="2078"/>
      <c r="D42" s="2078"/>
    </row>
    <row r="43" spans="2:5" ht="12.2" customHeight="1" x14ac:dyDescent="0.2">
      <c r="B43" s="2079"/>
      <c r="C43" s="2079"/>
      <c r="D43" s="2079"/>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0"/>
      <c r="C51" s="2080"/>
      <c r="D51" s="208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69"/>
      <c r="C65" s="2069"/>
      <c r="D65" s="2069"/>
    </row>
    <row r="66" spans="2:4" x14ac:dyDescent="0.2">
      <c r="B66" s="2069"/>
      <c r="C66" s="2069"/>
      <c r="D66" s="2069"/>
    </row>
    <row r="67" spans="2:4" x14ac:dyDescent="0.2">
      <c r="B67" s="2081"/>
      <c r="C67" s="2081"/>
      <c r="D67" s="2081"/>
    </row>
    <row r="68" spans="2:4" x14ac:dyDescent="0.2">
      <c r="B68" s="2081"/>
      <c r="C68" s="2081"/>
      <c r="D68" s="2081"/>
    </row>
    <row r="69" spans="2:4" x14ac:dyDescent="0.2">
      <c r="B69" s="2081"/>
      <c r="C69" s="2081"/>
      <c r="D69" s="2081"/>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6" t="s">
        <v>383</v>
      </c>
      <c r="B1" s="2236"/>
      <c r="C1" s="2236"/>
      <c r="D1" s="2236"/>
      <c r="E1" s="2236"/>
      <c r="F1" s="2236"/>
      <c r="G1" s="2236"/>
      <c r="H1" s="2236"/>
      <c r="I1" s="2236"/>
      <c r="J1" s="2236"/>
      <c r="K1" s="2236"/>
      <c r="L1" s="2236"/>
      <c r="M1" s="223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55289094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0.04</v>
      </c>
      <c r="E10" s="333" t="s">
        <v>998</v>
      </c>
      <c r="F10" s="332">
        <v>5.0000000000000001E-3</v>
      </c>
      <c r="G10" s="333" t="s">
        <v>998</v>
      </c>
      <c r="H10" s="332">
        <v>2E-3</v>
      </c>
      <c r="I10" s="333" t="s">
        <v>999</v>
      </c>
      <c r="J10" s="1423">
        <f>ROUND(D10+F10+H10,5)</f>
        <v>4.7E-2</v>
      </c>
      <c r="K10" s="217"/>
      <c r="L10" s="332">
        <v>5.0000000000000001E-4</v>
      </c>
      <c r="M10" s="217"/>
    </row>
    <row r="11" spans="1:14" ht="7.5" customHeight="1" x14ac:dyDescent="0.2">
      <c r="B11" s="217"/>
      <c r="C11" s="217"/>
      <c r="D11" s="2246" t="str">
        <f>IF(SUM(J10)&lt;=0.0999999,"","Enter the Tax Rates by moving the decimal two places to the left.")</f>
        <v/>
      </c>
      <c r="E11" s="2247"/>
      <c r="F11" s="2247"/>
      <c r="G11" s="2247"/>
      <c r="H11" s="2247"/>
      <c r="I11" s="2247"/>
      <c r="J11" s="224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3599435</v>
      </c>
      <c r="E16" s="1546"/>
      <c r="F16" s="1545">
        <f>SUM('Acct Summary 7-8'!C17,'Acct Summary 7-8'!D17,'Acct Summary 7-8'!F17)</f>
        <v>3278191</v>
      </c>
      <c r="G16" s="1546"/>
      <c r="H16" s="1545">
        <f>SUM(D16-F16)</f>
        <v>321244</v>
      </c>
      <c r="I16" s="1547"/>
      <c r="J16" s="1545">
        <f>SUM('Acct Summary 7-8'!C81,'Acct Summary 7-8'!D81,'Acct Summary 7-8'!F81,'Acct Summary 7-8'!I81)</f>
        <v>3255906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7629894.972000001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1575000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7"/>
      <c r="C54" s="2238"/>
      <c r="D54" s="2238"/>
      <c r="E54" s="2238"/>
      <c r="F54" s="2238"/>
      <c r="G54" s="2238"/>
      <c r="H54" s="2238"/>
      <c r="I54" s="2238"/>
      <c r="J54" s="2238"/>
      <c r="K54" s="2238"/>
      <c r="L54" s="2239"/>
      <c r="M54" s="357"/>
    </row>
    <row r="55" spans="1:13" ht="12.75" customHeight="1" x14ac:dyDescent="0.2">
      <c r="B55" s="2240"/>
      <c r="C55" s="2241"/>
      <c r="D55" s="2241"/>
      <c r="E55" s="2241"/>
      <c r="F55" s="2241"/>
      <c r="G55" s="2241"/>
      <c r="H55" s="2241"/>
      <c r="I55" s="2241"/>
      <c r="J55" s="2241"/>
      <c r="K55" s="2241"/>
      <c r="L55" s="2242"/>
      <c r="M55" s="357"/>
    </row>
    <row r="56" spans="1:13" ht="12.75" customHeight="1" x14ac:dyDescent="0.2">
      <c r="B56" s="2240"/>
      <c r="C56" s="2241"/>
      <c r="D56" s="2241"/>
      <c r="E56" s="2241"/>
      <c r="F56" s="2241"/>
      <c r="G56" s="2241"/>
      <c r="H56" s="2241"/>
      <c r="I56" s="2241"/>
      <c r="J56" s="2241"/>
      <c r="K56" s="2241"/>
      <c r="L56" s="2242"/>
      <c r="M56" s="217"/>
    </row>
    <row r="57" spans="1:13" ht="12.75" customHeight="1" x14ac:dyDescent="0.2">
      <c r="B57" s="2240"/>
      <c r="C57" s="2241"/>
      <c r="D57" s="2241"/>
      <c r="E57" s="2241"/>
      <c r="F57" s="2241"/>
      <c r="G57" s="2241"/>
      <c r="H57" s="2241"/>
      <c r="I57" s="2241"/>
      <c r="J57" s="2241"/>
      <c r="K57" s="2241"/>
      <c r="L57" s="2242"/>
      <c r="M57" s="217"/>
    </row>
    <row r="58" spans="1:13" x14ac:dyDescent="0.2">
      <c r="B58" s="2243"/>
      <c r="C58" s="2244"/>
      <c r="D58" s="2244"/>
      <c r="E58" s="2244"/>
      <c r="F58" s="2244"/>
      <c r="G58" s="2244"/>
      <c r="H58" s="2244"/>
      <c r="I58" s="2244"/>
      <c r="J58" s="2244"/>
      <c r="K58" s="2244"/>
      <c r="L58" s="224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8"/>
      <c r="D61" s="224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1"/>
      <c r="B1" s="2252"/>
      <c r="C1" s="2252"/>
      <c r="D1" s="361"/>
      <c r="E1" s="361"/>
      <c r="F1" s="361"/>
      <c r="G1" s="361"/>
      <c r="H1" s="361"/>
      <c r="I1" s="361"/>
      <c r="J1" s="361"/>
      <c r="K1" s="361"/>
      <c r="L1" s="361"/>
      <c r="M1" s="361"/>
      <c r="N1" s="361"/>
      <c r="O1" s="2251"/>
      <c r="P1" s="2252"/>
      <c r="Q1" s="2252"/>
    </row>
    <row r="2" spans="1:18" ht="15" x14ac:dyDescent="0.2">
      <c r="A2" s="2255" t="s">
        <v>552</v>
      </c>
      <c r="B2" s="2255"/>
      <c r="C2" s="2255"/>
      <c r="D2" s="2255"/>
      <c r="E2" s="2255"/>
      <c r="F2" s="2255"/>
      <c r="G2" s="2255"/>
      <c r="H2" s="2255"/>
      <c r="I2" s="2255"/>
      <c r="J2" s="2255"/>
      <c r="K2" s="2255"/>
      <c r="L2" s="2255"/>
      <c r="M2" s="2255"/>
      <c r="N2" s="2255"/>
      <c r="O2" s="2255"/>
      <c r="P2" s="2255"/>
      <c r="Q2" s="2255"/>
      <c r="R2" s="2255"/>
    </row>
    <row r="3" spans="1:18" ht="12.75" x14ac:dyDescent="0.2">
      <c r="A3" s="2256" t="s">
        <v>1396</v>
      </c>
      <c r="B3" s="2256"/>
      <c r="C3" s="2256"/>
      <c r="D3" s="2256"/>
      <c r="E3" s="2256"/>
      <c r="F3" s="2256"/>
      <c r="G3" s="2256"/>
      <c r="H3" s="2256"/>
      <c r="I3" s="2256"/>
      <c r="J3" s="2256"/>
      <c r="K3" s="2256"/>
      <c r="L3" s="2256"/>
      <c r="M3" s="2256"/>
      <c r="N3" s="2256"/>
      <c r="O3" s="2256"/>
      <c r="P3" s="2256"/>
      <c r="Q3" s="2256"/>
      <c r="R3" s="2256"/>
    </row>
    <row r="4" spans="1:18" x14ac:dyDescent="0.2">
      <c r="A4" s="2257" t="s">
        <v>1537</v>
      </c>
      <c r="B4" s="2257"/>
      <c r="C4" s="2257"/>
      <c r="D4" s="2257"/>
      <c r="E4" s="2257"/>
      <c r="F4" s="2257"/>
      <c r="G4" s="2257"/>
      <c r="H4" s="2257"/>
      <c r="I4" s="2257"/>
      <c r="J4" s="2257"/>
      <c r="K4" s="2257"/>
      <c r="L4" s="2257"/>
      <c r="M4" s="2257"/>
      <c r="N4" s="2257"/>
      <c r="O4" s="2257"/>
      <c r="P4" s="2257"/>
      <c r="Q4" s="2257"/>
      <c r="R4" s="225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Leland CUSD 1</v>
      </c>
      <c r="E7" s="368"/>
      <c r="G7" s="247"/>
      <c r="H7" s="364"/>
      <c r="I7" s="364"/>
      <c r="J7" s="364"/>
      <c r="K7" s="364"/>
      <c r="L7" s="307"/>
      <c r="M7" s="307"/>
      <c r="N7" s="307"/>
      <c r="O7" s="307"/>
      <c r="P7" s="307"/>
    </row>
    <row r="8" spans="1:18" ht="12.75" x14ac:dyDescent="0.2">
      <c r="A8" s="307"/>
      <c r="B8" s="307"/>
      <c r="C8" s="366" t="s">
        <v>1115</v>
      </c>
      <c r="D8" s="369">
        <f>COVER!A13</f>
        <v>35050001026</v>
      </c>
      <c r="E8" s="370"/>
      <c r="G8" s="307"/>
      <c r="H8" s="307"/>
      <c r="I8" s="307"/>
      <c r="J8" s="307"/>
      <c r="K8" s="307"/>
      <c r="L8" s="307"/>
      <c r="M8" s="307"/>
      <c r="N8" s="307"/>
      <c r="O8" s="307"/>
      <c r="P8" s="307"/>
    </row>
    <row r="9" spans="1:18" ht="12.75" x14ac:dyDescent="0.2">
      <c r="A9" s="307"/>
      <c r="B9" s="307"/>
      <c r="C9" s="366" t="s">
        <v>708</v>
      </c>
      <c r="D9" s="371" t="str">
        <f>COVER!A15</f>
        <v>LaSalle/DeKalb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3255906</v>
      </c>
      <c r="I12" s="380"/>
      <c r="J12" s="380"/>
      <c r="K12" s="1558">
        <f>TRUNC((H12/H13*100000),5)/100000</f>
        <v>0.9045602989999999</v>
      </c>
      <c r="L12" s="381"/>
      <c r="M12" s="337" t="s">
        <v>1134</v>
      </c>
      <c r="N12" s="337"/>
      <c r="O12" s="1561">
        <v>0.35</v>
      </c>
      <c r="P12" s="213"/>
      <c r="Q12" s="213"/>
    </row>
    <row r="13" spans="1:18" s="382" customFormat="1" ht="12.75" x14ac:dyDescent="0.2">
      <c r="A13" s="213"/>
      <c r="B13" s="377"/>
      <c r="C13" s="2253" t="s">
        <v>1313</v>
      </c>
      <c r="D13" s="2254"/>
      <c r="E13" s="213"/>
      <c r="F13" s="383" t="s">
        <v>788</v>
      </c>
      <c r="G13" s="378"/>
      <c r="H13" s="1550">
        <f>SUM('Acct Summary 7-8'!C8+'Acct Summary 7-8'!D8+'Acct Summary 7-8'!F8+'Acct Summary 7-8'!I8)+H14</f>
        <v>3599435</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3278191</v>
      </c>
      <c r="I17" s="380"/>
      <c r="J17" s="389"/>
      <c r="K17" s="1558">
        <f>TRUNC((H17/H18*100000),5)/100000</f>
        <v>0.91075154850000006</v>
      </c>
      <c r="L17" s="381"/>
      <c r="M17" s="390" t="s">
        <v>1161</v>
      </c>
      <c r="O17" s="1564" t="str">
        <f>IF(AND(O16="2", J20 &gt; 2),"1",IF(AND(O16 = "1", J20 &gt; 2),"2",IF(AND(O16="1", J20 &gt;1),"1","0")))</f>
        <v>0</v>
      </c>
      <c r="P17" s="213"/>
    </row>
    <row r="18" spans="1:18" s="382" customFormat="1" ht="11.25" x14ac:dyDescent="0.2">
      <c r="A18" s="213"/>
      <c r="B18" s="377"/>
      <c r="C18" s="2253" t="s">
        <v>1306</v>
      </c>
      <c r="D18" s="2254"/>
      <c r="E18" s="213"/>
      <c r="F18" s="391" t="s">
        <v>789</v>
      </c>
      <c r="G18" s="378"/>
      <c r="H18" s="1550">
        <f>SUM('Acct Summary 7-8'!C8+'Acct Summary 7-8'!D8+'Acct Summary 7-8'!F8+'Acct Summary 7-8'!I8)+H19</f>
        <v>3599435</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50" t="s">
        <v>1395</v>
      </c>
      <c r="D24" s="2250"/>
      <c r="E24" s="213"/>
      <c r="F24" s="213" t="s">
        <v>442</v>
      </c>
      <c r="G24" s="378"/>
      <c r="H24" s="1550">
        <f>SUM('Assets-Liab 5-6'!C4+'Assets-Liab 5-6'!D4+'Assets-Liab 5-6'!F4+'Assets-Liab 5-6'!I4+'Assets-Liab 5-6'!C5+'Assets-Liab 5-6'!D5+'Assets-Liab 5-6'!F5+'Assets-Liab 5-6'!I5)</f>
        <v>3255906</v>
      </c>
      <c r="I24" s="394"/>
      <c r="J24" s="394"/>
      <c r="K24" s="1554">
        <f>TRUNC(((H24/H25*100000)/100000),2)</f>
        <v>357.55</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9106.0861100000002</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2208799.3053000001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1575000</v>
      </c>
      <c r="I32" s="392"/>
      <c r="J32" s="392"/>
      <c r="K32" s="1554">
        <f>TRUNC(100-((((H32/H33*100))*100)/100),2)</f>
        <v>79.349999999999994</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7629894.972000001</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0" t="s">
        <v>967</v>
      </c>
      <c r="B3" s="2261"/>
      <c r="C3" s="1305"/>
      <c r="D3" s="1306"/>
      <c r="E3" s="1306"/>
      <c r="F3" s="1306"/>
      <c r="G3" s="1306"/>
      <c r="H3" s="1306"/>
      <c r="I3" s="1306"/>
      <c r="J3" s="1306"/>
      <c r="K3" s="1306"/>
      <c r="L3" s="1306"/>
      <c r="M3" s="1307"/>
      <c r="N3" s="1308"/>
    </row>
    <row r="4" spans="1:14" ht="13.5" customHeight="1" x14ac:dyDescent="0.2">
      <c r="A4" s="427" t="s">
        <v>1632</v>
      </c>
      <c r="B4" s="428"/>
      <c r="C4" s="1571">
        <v>711442</v>
      </c>
      <c r="D4" s="1572">
        <v>217867</v>
      </c>
      <c r="E4" s="1572">
        <v>86902</v>
      </c>
      <c r="F4" s="1572">
        <v>257787</v>
      </c>
      <c r="G4" s="1572">
        <v>145370</v>
      </c>
      <c r="H4" s="1572">
        <v>110099</v>
      </c>
      <c r="I4" s="1572">
        <v>134341</v>
      </c>
      <c r="J4" s="1573">
        <v>105537</v>
      </c>
      <c r="K4" s="1572">
        <v>37070</v>
      </c>
      <c r="L4" s="1572">
        <v>144563</v>
      </c>
      <c r="M4" s="1574"/>
      <c r="N4" s="1575"/>
    </row>
    <row r="5" spans="1:14" x14ac:dyDescent="0.2">
      <c r="A5" s="427" t="s">
        <v>985</v>
      </c>
      <c r="B5" s="429">
        <v>120</v>
      </c>
      <c r="C5" s="1571">
        <v>576025</v>
      </c>
      <c r="D5" s="1572">
        <v>389723</v>
      </c>
      <c r="E5" s="1572">
        <v>0</v>
      </c>
      <c r="F5" s="1572">
        <v>333059</v>
      </c>
      <c r="G5" s="1572">
        <v>74181</v>
      </c>
      <c r="H5" s="1572">
        <v>0</v>
      </c>
      <c r="I5" s="1572">
        <v>635662</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c r="F7" s="1573">
        <v>0</v>
      </c>
      <c r="G7" s="1573"/>
      <c r="H7" s="1573"/>
      <c r="I7" s="1573">
        <v>0</v>
      </c>
      <c r="J7" s="1573"/>
      <c r="K7" s="1573"/>
      <c r="L7" s="1581"/>
      <c r="M7" s="1574"/>
      <c r="N7" s="1575"/>
    </row>
    <row r="8" spans="1:14" ht="13.5" customHeight="1" x14ac:dyDescent="0.2">
      <c r="A8" s="430" t="s">
        <v>267</v>
      </c>
      <c r="B8" s="429">
        <v>150</v>
      </c>
      <c r="C8" s="1580">
        <v>0</v>
      </c>
      <c r="D8" s="1573">
        <v>0</v>
      </c>
      <c r="E8" s="1573"/>
      <c r="F8" s="1573">
        <v>0</v>
      </c>
      <c r="G8" s="1582">
        <v>0</v>
      </c>
      <c r="H8" s="1573">
        <v>0</v>
      </c>
      <c r="I8" s="1578"/>
      <c r="J8" s="1578"/>
      <c r="K8" s="1583"/>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c r="F10" s="1572">
        <v>0</v>
      </c>
      <c r="G10" s="1582"/>
      <c r="H10" s="1585">
        <v>0</v>
      </c>
      <c r="I10" s="1573"/>
      <c r="J10" s="1573"/>
      <c r="K10" s="1585">
        <v>0</v>
      </c>
      <c r="L10" s="1585">
        <v>0</v>
      </c>
      <c r="M10" s="1575"/>
      <c r="N10" s="1575"/>
    </row>
    <row r="11" spans="1:14" ht="13.5" customHeight="1" x14ac:dyDescent="0.2">
      <c r="A11" s="430" t="s">
        <v>269</v>
      </c>
      <c r="B11" s="429">
        <v>180</v>
      </c>
      <c r="C11" s="1580">
        <v>0</v>
      </c>
      <c r="D11" s="1573">
        <v>0</v>
      </c>
      <c r="E11" s="1573"/>
      <c r="F11" s="1573">
        <v>0</v>
      </c>
      <c r="G11" s="1573">
        <v>0</v>
      </c>
      <c r="H11" s="1573">
        <v>0</v>
      </c>
      <c r="I11" s="1582">
        <v>0</v>
      </c>
      <c r="J11" s="1582"/>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1287467</v>
      </c>
      <c r="D13" s="1586">
        <f t="shared" ref="D13:L13" si="0">SUM(D4:D12)</f>
        <v>607590</v>
      </c>
      <c r="E13" s="1586">
        <f t="shared" si="0"/>
        <v>86902</v>
      </c>
      <c r="F13" s="1586">
        <f t="shared" si="0"/>
        <v>590846</v>
      </c>
      <c r="G13" s="1586">
        <f t="shared" si="0"/>
        <v>219551</v>
      </c>
      <c r="H13" s="1586">
        <f t="shared" si="0"/>
        <v>110099</v>
      </c>
      <c r="I13" s="1586">
        <f t="shared" si="0"/>
        <v>770003</v>
      </c>
      <c r="J13" s="1586">
        <f t="shared" si="0"/>
        <v>105537</v>
      </c>
      <c r="K13" s="1586">
        <f t="shared" si="0"/>
        <v>37070</v>
      </c>
      <c r="L13" s="1586">
        <f t="shared" si="0"/>
        <v>144563</v>
      </c>
      <c r="M13" s="1574"/>
      <c r="N13" s="1575"/>
    </row>
    <row r="14" spans="1:14" ht="18" customHeight="1" thickTop="1" x14ac:dyDescent="0.2">
      <c r="A14" s="2262" t="s">
        <v>146</v>
      </c>
      <c r="B14" s="2263"/>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136694</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4710282</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3058245</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1022175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86902</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1488098</v>
      </c>
    </row>
    <row r="23" spans="1:14" ht="13.5" customHeight="1" thickBot="1" x14ac:dyDescent="0.25">
      <c r="A23" s="1425" t="s">
        <v>638</v>
      </c>
      <c r="B23" s="1428"/>
      <c r="C23" s="1574"/>
      <c r="D23" s="1574"/>
      <c r="E23" s="1574"/>
      <c r="F23" s="1574"/>
      <c r="G23" s="1574"/>
      <c r="H23" s="1574"/>
      <c r="I23" s="1574"/>
      <c r="J23" s="1574"/>
      <c r="K23" s="1574"/>
      <c r="L23" s="1574"/>
      <c r="M23" s="1593">
        <f>SUM(M15:M22)</f>
        <v>8927396</v>
      </c>
      <c r="N23" s="1593">
        <f>SUM(N21:N22)</f>
        <v>1575000</v>
      </c>
    </row>
    <row r="24" spans="1:14" ht="18" customHeight="1" thickTop="1" x14ac:dyDescent="0.2">
      <c r="A24" s="2264" t="s">
        <v>594</v>
      </c>
      <c r="B24" s="2265"/>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c r="F30" s="1573">
        <v>0</v>
      </c>
      <c r="G30" s="1573">
        <v>0</v>
      </c>
      <c r="H30" s="1573">
        <v>0</v>
      </c>
      <c r="I30" s="1573"/>
      <c r="J30" s="1573">
        <v>0</v>
      </c>
      <c r="K30" s="1582">
        <v>0</v>
      </c>
      <c r="L30" s="1574"/>
      <c r="M30" s="1574"/>
      <c r="N30" s="1574"/>
    </row>
    <row r="31" spans="1:14" ht="13.5" customHeight="1" x14ac:dyDescent="0.2">
      <c r="A31" s="430" t="s">
        <v>646</v>
      </c>
      <c r="B31" s="429">
        <v>480</v>
      </c>
      <c r="C31" s="1572">
        <v>0</v>
      </c>
      <c r="D31" s="1573">
        <v>0</v>
      </c>
      <c r="E31" s="1573"/>
      <c r="F31" s="1572">
        <v>0</v>
      </c>
      <c r="G31" s="1573">
        <v>0</v>
      </c>
      <c r="H31" s="1573">
        <v>0</v>
      </c>
      <c r="I31" s="1573"/>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c r="E33" s="1573"/>
      <c r="F33" s="1573"/>
      <c r="G33" s="1573"/>
      <c r="H33" s="1573"/>
      <c r="I33" s="1573"/>
      <c r="J33" s="1573"/>
      <c r="K33" s="1573"/>
      <c r="L33" s="1573">
        <v>53092</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53092</v>
      </c>
      <c r="M34" s="1574"/>
      <c r="N34" s="1584"/>
    </row>
    <row r="35" spans="1:14" ht="18" customHeight="1" thickTop="1" x14ac:dyDescent="0.2">
      <c r="A35" s="2266" t="s">
        <v>526</v>
      </c>
      <c r="B35" s="2267"/>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1575000</v>
      </c>
    </row>
    <row r="37" spans="1:14" ht="13.5" thickBot="1" x14ac:dyDescent="0.25">
      <c r="A37" s="1425" t="s">
        <v>648</v>
      </c>
      <c r="B37" s="1428"/>
      <c r="C37" s="1581"/>
      <c r="D37" s="1581"/>
      <c r="E37" s="1581"/>
      <c r="F37" s="1581"/>
      <c r="G37" s="1581"/>
      <c r="H37" s="1581"/>
      <c r="I37" s="1581"/>
      <c r="J37" s="1581"/>
      <c r="K37" s="1581"/>
      <c r="L37" s="1584"/>
      <c r="M37" s="1574"/>
      <c r="N37" s="1593">
        <f>SUM(N36:N36)</f>
        <v>1575000</v>
      </c>
    </row>
    <row r="38" spans="1:14" s="307" customFormat="1" ht="13.5" customHeight="1" thickTop="1" x14ac:dyDescent="0.2">
      <c r="A38" s="438" t="s">
        <v>417</v>
      </c>
      <c r="B38" s="432">
        <v>714</v>
      </c>
      <c r="C38" s="1572">
        <v>20806</v>
      </c>
      <c r="D38" s="1572">
        <v>0</v>
      </c>
      <c r="E38" s="1572">
        <v>0</v>
      </c>
      <c r="F38" s="1572">
        <v>0</v>
      </c>
      <c r="G38" s="1572">
        <v>88497</v>
      </c>
      <c r="H38" s="1572">
        <v>50000</v>
      </c>
      <c r="I38" s="1572">
        <v>0</v>
      </c>
      <c r="J38" s="1573">
        <v>0</v>
      </c>
      <c r="K38" s="1572">
        <v>0</v>
      </c>
      <c r="L38" s="1585">
        <v>91471</v>
      </c>
      <c r="M38" s="1603"/>
      <c r="N38" s="1603"/>
    </row>
    <row r="39" spans="1:14" s="307" customFormat="1" ht="13.5" customHeight="1" x14ac:dyDescent="0.2">
      <c r="A39" s="438" t="s">
        <v>339</v>
      </c>
      <c r="B39" s="432">
        <v>730</v>
      </c>
      <c r="C39" s="1572">
        <v>1266661</v>
      </c>
      <c r="D39" s="1572">
        <v>607590</v>
      </c>
      <c r="E39" s="1572">
        <v>86902</v>
      </c>
      <c r="F39" s="1572">
        <v>590846</v>
      </c>
      <c r="G39" s="1572">
        <v>131054</v>
      </c>
      <c r="H39" s="1572">
        <v>60099</v>
      </c>
      <c r="I39" s="1572">
        <v>770003</v>
      </c>
      <c r="J39" s="1573">
        <v>105537</v>
      </c>
      <c r="K39" s="1572">
        <v>37070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8927396</v>
      </c>
      <c r="N40" s="1603"/>
    </row>
    <row r="41" spans="1:14" ht="13.5" customHeight="1" thickBot="1" x14ac:dyDescent="0.25">
      <c r="A41" s="1425" t="s">
        <v>650</v>
      </c>
      <c r="B41" s="1404"/>
      <c r="C41" s="1593">
        <f>(SUM(C34,C37,C38,C39))</f>
        <v>1287467</v>
      </c>
      <c r="D41" s="1593">
        <f t="shared" ref="D41:L41" si="2">SUM(D34,D37,D38:D39)</f>
        <v>607590</v>
      </c>
      <c r="E41" s="1593">
        <f t="shared" si="2"/>
        <v>86902</v>
      </c>
      <c r="F41" s="1593">
        <f t="shared" si="2"/>
        <v>590846</v>
      </c>
      <c r="G41" s="1593">
        <f t="shared" si="2"/>
        <v>219551</v>
      </c>
      <c r="H41" s="1593">
        <f t="shared" si="2"/>
        <v>110099</v>
      </c>
      <c r="I41" s="1593">
        <f t="shared" si="2"/>
        <v>770003</v>
      </c>
      <c r="J41" s="1593">
        <f t="shared" si="2"/>
        <v>105537</v>
      </c>
      <c r="K41" s="1593">
        <f t="shared" si="2"/>
        <v>37070</v>
      </c>
      <c r="L41" s="1593">
        <f t="shared" si="2"/>
        <v>144563</v>
      </c>
      <c r="M41" s="1593">
        <f>SUM(M40)</f>
        <v>8927396</v>
      </c>
      <c r="N41" s="1593">
        <f>SUM(N37)</f>
        <v>1575000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6" sqref="T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8" t="s">
        <v>1165</v>
      </c>
      <c r="B3" s="2289"/>
      <c r="C3" s="1310"/>
      <c r="D3" s="1311"/>
      <c r="E3" s="1311"/>
      <c r="F3" s="1311"/>
      <c r="G3" s="1311"/>
      <c r="H3" s="1311"/>
      <c r="I3" s="1311"/>
      <c r="J3" s="1311"/>
      <c r="K3" s="1312"/>
      <c r="L3" s="446"/>
    </row>
    <row r="4" spans="1:13" ht="15.75" customHeight="1" x14ac:dyDescent="0.2">
      <c r="A4" s="1536" t="s">
        <v>1482</v>
      </c>
      <c r="B4" s="1537">
        <v>1000</v>
      </c>
      <c r="C4" s="1605">
        <f>'Revenues 9-14'!C109</f>
        <v>2330710</v>
      </c>
      <c r="D4" s="1605">
        <f>'Revenues 9-14'!D109</f>
        <v>292186</v>
      </c>
      <c r="E4" s="1605">
        <f>'Revenues 9-14'!E109</f>
        <v>229632</v>
      </c>
      <c r="F4" s="1605">
        <f>'Revenues 9-14'!F109</f>
        <v>108988</v>
      </c>
      <c r="G4" s="1605">
        <f>'Revenues 9-14'!G109</f>
        <v>122498</v>
      </c>
      <c r="H4" s="1605">
        <f>'Revenues 9-14'!H109</f>
        <v>60000</v>
      </c>
      <c r="I4" s="1605">
        <f>'Revenues 9-14'!I109</f>
        <v>33414</v>
      </c>
      <c r="J4" s="1605">
        <f>'Revenues 9-14'!J109</f>
        <v>256532</v>
      </c>
      <c r="K4" s="1605">
        <f>'Revenues 9-14'!K109</f>
        <v>26498</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390054</v>
      </c>
      <c r="D6" s="1606">
        <f>'Revenues 9-14'!D170</f>
        <v>0</v>
      </c>
      <c r="E6" s="1606">
        <f>'Revenues 9-14'!E170</f>
        <v>0</v>
      </c>
      <c r="F6" s="1606">
        <f>'Revenues 9-14'!F170</f>
        <v>145105</v>
      </c>
      <c r="G6" s="1606">
        <f>'Revenues 9-14'!G170</f>
        <v>0</v>
      </c>
      <c r="H6" s="1606">
        <f>'Revenues 9-14'!H170</f>
        <v>50000</v>
      </c>
      <c r="I6" s="1606">
        <f>'Revenues 9-14'!I170</f>
        <v>0</v>
      </c>
      <c r="J6" s="1606">
        <f>'Revenues 9-14'!J170</f>
        <v>0</v>
      </c>
      <c r="K6" s="1606">
        <f>'Revenues 9-14'!K170</f>
        <v>0</v>
      </c>
      <c r="L6" s="325"/>
      <c r="M6" s="448"/>
    </row>
    <row r="7" spans="1:13" ht="15.75" customHeight="1" x14ac:dyDescent="0.2">
      <c r="A7" s="1313" t="s">
        <v>1485</v>
      </c>
      <c r="B7" s="1315">
        <v>4000</v>
      </c>
      <c r="C7" s="1606">
        <f>'Revenues 9-14'!C267</f>
        <v>298978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3019742</v>
      </c>
      <c r="D8" s="1593">
        <f t="shared" ref="D8:K8" si="0">SUM(D4:D7)</f>
        <v>292186</v>
      </c>
      <c r="E8" s="1593">
        <f t="shared" si="0"/>
        <v>229632</v>
      </c>
      <c r="F8" s="1593">
        <f t="shared" si="0"/>
        <v>254093</v>
      </c>
      <c r="G8" s="1593">
        <f t="shared" si="0"/>
        <v>122498</v>
      </c>
      <c r="H8" s="1593">
        <f t="shared" si="0"/>
        <v>110000</v>
      </c>
      <c r="I8" s="1593">
        <f t="shared" si="0"/>
        <v>33414</v>
      </c>
      <c r="J8" s="1593">
        <f t="shared" si="0"/>
        <v>256532</v>
      </c>
      <c r="K8" s="1593">
        <f t="shared" si="0"/>
        <v>26498</v>
      </c>
      <c r="L8" s="325"/>
    </row>
    <row r="9" spans="1:13" ht="15.75" thickTop="1" x14ac:dyDescent="0.2">
      <c r="A9" s="449" t="s">
        <v>1634</v>
      </c>
      <c r="B9" s="450">
        <v>3998</v>
      </c>
      <c r="C9" s="1585">
        <v>1253316</v>
      </c>
      <c r="D9" s="1612"/>
      <c r="E9" s="1585"/>
      <c r="F9" s="1585"/>
      <c r="G9" s="1613"/>
      <c r="H9" s="1585"/>
      <c r="I9" s="1608" t="s">
        <v>1159</v>
      </c>
      <c r="J9" s="1582"/>
      <c r="K9" s="1585"/>
      <c r="L9" s="325"/>
    </row>
    <row r="10" spans="1:13" s="452" customFormat="1" ht="13.5" thickBot="1" x14ac:dyDescent="0.25">
      <c r="A10" s="1425" t="s">
        <v>1163</v>
      </c>
      <c r="B10" s="1406"/>
      <c r="C10" s="1593">
        <f>SUM(C8:C9)</f>
        <v>4273058</v>
      </c>
      <c r="D10" s="1593">
        <f t="shared" ref="D10:K10" si="1">SUM(D8:D9)</f>
        <v>292186</v>
      </c>
      <c r="E10" s="1593">
        <f t="shared" si="1"/>
        <v>229632</v>
      </c>
      <c r="F10" s="1593">
        <f t="shared" si="1"/>
        <v>254093</v>
      </c>
      <c r="G10" s="1593">
        <f t="shared" si="1"/>
        <v>122498</v>
      </c>
      <c r="H10" s="1593">
        <f t="shared" si="1"/>
        <v>110000</v>
      </c>
      <c r="I10" s="1593">
        <f t="shared" si="1"/>
        <v>33414</v>
      </c>
      <c r="J10" s="1593">
        <f t="shared" si="1"/>
        <v>256532</v>
      </c>
      <c r="K10" s="1593">
        <f t="shared" si="1"/>
        <v>26498</v>
      </c>
      <c r="L10" s="451"/>
    </row>
    <row r="11" spans="1:13" s="452" customFormat="1" ht="16.7" customHeight="1" thickTop="1" x14ac:dyDescent="0.2">
      <c r="A11" s="2262" t="s">
        <v>1166</v>
      </c>
      <c r="B11" s="2263"/>
      <c r="C11" s="1601"/>
      <c r="D11" s="1602"/>
      <c r="E11" s="1602"/>
      <c r="F11" s="1602"/>
      <c r="G11" s="1602"/>
      <c r="H11" s="1602"/>
      <c r="I11" s="1602"/>
      <c r="J11" s="1602"/>
      <c r="K11" s="1614"/>
      <c r="L11" s="451"/>
    </row>
    <row r="12" spans="1:13" ht="15.75" customHeight="1" x14ac:dyDescent="0.2">
      <c r="A12" s="1313" t="s">
        <v>453</v>
      </c>
      <c r="B12" s="1315">
        <v>1000</v>
      </c>
      <c r="C12" s="1605">
        <f>'Expenditures 15-22'!K33</f>
        <v>1737201</v>
      </c>
      <c r="D12" s="1615" t="s">
        <v>1159</v>
      </c>
      <c r="E12" s="1574" t="s">
        <v>1159</v>
      </c>
      <c r="F12" s="1574" t="s">
        <v>1159</v>
      </c>
      <c r="G12" s="1605">
        <f>'Expenditures 15-22'!K229</f>
        <v>39034</v>
      </c>
      <c r="H12" s="1616"/>
      <c r="I12" s="1574" t="s">
        <v>1159</v>
      </c>
      <c r="J12" s="1574" t="s">
        <v>1159</v>
      </c>
      <c r="K12" s="1616" t="s">
        <v>1159</v>
      </c>
      <c r="L12" s="325"/>
    </row>
    <row r="13" spans="1:13" ht="15.75" customHeight="1" x14ac:dyDescent="0.2">
      <c r="A13" s="1313" t="s">
        <v>454</v>
      </c>
      <c r="B13" s="1315">
        <v>2000</v>
      </c>
      <c r="C13" s="1606">
        <f>'Expenditures 15-22'!K74</f>
        <v>735472</v>
      </c>
      <c r="D13" s="1606">
        <f>'Expenditures 15-22'!K129</f>
        <v>282258</v>
      </c>
      <c r="E13" s="1575" t="s">
        <v>1159</v>
      </c>
      <c r="F13" s="1606">
        <f>'Expenditures 15-22'!K184</f>
        <v>262031</v>
      </c>
      <c r="G13" s="1606">
        <f>'Expenditures 15-22'!K279</f>
        <v>73318</v>
      </c>
      <c r="H13" s="1606">
        <f>'Expenditures 15-22'!K303</f>
        <v>84510</v>
      </c>
      <c r="I13" s="1574" t="s">
        <v>1159</v>
      </c>
      <c r="J13" s="1606">
        <f>'Expenditures 15-22'!K330</f>
        <v>207779</v>
      </c>
      <c r="K13" s="1617">
        <f>'Expenditures 15-22'!K352</f>
        <v>1697</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261229</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226815</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2733902</v>
      </c>
      <c r="D17" s="1593">
        <f t="shared" si="2"/>
        <v>282258</v>
      </c>
      <c r="E17" s="1593">
        <f t="shared" si="2"/>
        <v>226815</v>
      </c>
      <c r="F17" s="1593">
        <f t="shared" si="2"/>
        <v>262031</v>
      </c>
      <c r="G17" s="1593">
        <f t="shared" si="2"/>
        <v>112352</v>
      </c>
      <c r="H17" s="1593">
        <f t="shared" si="2"/>
        <v>84510</v>
      </c>
      <c r="I17" s="1574"/>
      <c r="J17" s="1593">
        <f>SUM(J12:J16)</f>
        <v>207779</v>
      </c>
      <c r="K17" s="1593">
        <f>SUM(K12:K16)</f>
        <v>1697</v>
      </c>
      <c r="L17" s="325"/>
    </row>
    <row r="18" spans="1:12" ht="15" customHeight="1" thickTop="1" x14ac:dyDescent="0.2">
      <c r="A18" s="1429" t="s">
        <v>1635</v>
      </c>
      <c r="B18" s="1430">
        <v>4180</v>
      </c>
      <c r="C18" s="1605">
        <f t="shared" ref="C18:H18" si="3">C9</f>
        <v>1253316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3987218</v>
      </c>
      <c r="D19" s="1593">
        <f t="shared" si="4"/>
        <v>282258</v>
      </c>
      <c r="E19" s="1593">
        <f t="shared" si="4"/>
        <v>226815</v>
      </c>
      <c r="F19" s="1593">
        <f t="shared" si="4"/>
        <v>262031</v>
      </c>
      <c r="G19" s="1593">
        <f t="shared" si="4"/>
        <v>112352</v>
      </c>
      <c r="H19" s="1593">
        <f t="shared" si="4"/>
        <v>84510</v>
      </c>
      <c r="I19" s="1574"/>
      <c r="J19" s="1593">
        <f>SUM(J17:J18)</f>
        <v>207779</v>
      </c>
      <c r="K19" s="1593">
        <f>SUM(K17:K18)</f>
        <v>1697</v>
      </c>
      <c r="L19" s="325"/>
    </row>
    <row r="20" spans="1:12" ht="16.5" thickTop="1" thickBot="1" x14ac:dyDescent="0.25">
      <c r="A20" s="2278" t="s">
        <v>1636</v>
      </c>
      <c r="B20" s="2279"/>
      <c r="C20" s="1621">
        <f>C8-C17</f>
        <v>285840</v>
      </c>
      <c r="D20" s="1621">
        <f t="shared" ref="D20:K20" si="5">D8-D17</f>
        <v>9928</v>
      </c>
      <c r="E20" s="1621">
        <f t="shared" si="5"/>
        <v>2817</v>
      </c>
      <c r="F20" s="1621">
        <f t="shared" si="5"/>
        <v>-7938</v>
      </c>
      <c r="G20" s="1621">
        <f t="shared" si="5"/>
        <v>10146</v>
      </c>
      <c r="H20" s="1621">
        <f t="shared" si="5"/>
        <v>25490</v>
      </c>
      <c r="I20" s="1621">
        <f t="shared" si="5"/>
        <v>33414</v>
      </c>
      <c r="J20" s="1621">
        <f t="shared" si="5"/>
        <v>48753</v>
      </c>
      <c r="K20" s="1621">
        <f t="shared" si="5"/>
        <v>24801</v>
      </c>
      <c r="L20" s="325"/>
    </row>
    <row r="21" spans="1:12" ht="16.7" customHeight="1" thickTop="1" x14ac:dyDescent="0.2">
      <c r="A21" s="2290" t="s">
        <v>591</v>
      </c>
      <c r="B21" s="2291"/>
      <c r="C21" s="1601"/>
      <c r="D21" s="1602"/>
      <c r="E21" s="1602"/>
      <c r="F21" s="1602"/>
      <c r="G21" s="1602"/>
      <c r="H21" s="1602"/>
      <c r="I21" s="1602"/>
      <c r="J21" s="1602"/>
      <c r="K21" s="1614"/>
      <c r="L21" s="453"/>
    </row>
    <row r="22" spans="1:12" ht="15.75" customHeight="1" collapsed="1" x14ac:dyDescent="0.2">
      <c r="A22" s="2286" t="s">
        <v>592</v>
      </c>
      <c r="B22" s="2287"/>
      <c r="C22" s="1581"/>
      <c r="D22" s="1581"/>
      <c r="E22" s="1581"/>
      <c r="F22" s="1581"/>
      <c r="G22" s="1581"/>
      <c r="H22" s="1581"/>
      <c r="I22" s="1581"/>
      <c r="J22" s="1581"/>
      <c r="K22" s="1581"/>
      <c r="L22" s="325"/>
    </row>
    <row r="23" spans="1:12" s="433" customFormat="1" ht="15.75" customHeight="1" x14ac:dyDescent="0.2">
      <c r="A23" s="2282" t="s">
        <v>290</v>
      </c>
      <c r="B23" s="2283"/>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33000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8">
        <v>0</v>
      </c>
      <c r="F31" s="1581"/>
      <c r="G31" s="1581"/>
      <c r="H31" s="1581"/>
      <c r="I31" s="1581"/>
      <c r="J31" s="1581"/>
      <c r="K31" s="1581"/>
      <c r="L31" s="453"/>
    </row>
    <row r="32" spans="1:12" s="433" customFormat="1" ht="15.75" customHeight="1" x14ac:dyDescent="0.2">
      <c r="A32" s="2284" t="s">
        <v>974</v>
      </c>
      <c r="B32" s="2285"/>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92" t="s">
        <v>371</v>
      </c>
      <c r="B44" s="2293"/>
      <c r="C44" s="1623">
        <f>SUM(C24:C43)</f>
        <v>0</v>
      </c>
      <c r="D44" s="1623">
        <f t="shared" ref="D44:K44" si="6">SUM(D24:D43)</f>
        <v>0</v>
      </c>
      <c r="E44" s="1623">
        <f t="shared" si="6"/>
        <v>0</v>
      </c>
      <c r="F44" s="1623">
        <f t="shared" si="6"/>
        <v>0</v>
      </c>
      <c r="G44" s="1623">
        <f t="shared" si="6"/>
        <v>0</v>
      </c>
      <c r="H44" s="1623">
        <f t="shared" si="6"/>
        <v>33000</v>
      </c>
      <c r="I44" s="1623">
        <f t="shared" si="6"/>
        <v>0</v>
      </c>
      <c r="J44" s="1623">
        <f t="shared" si="6"/>
        <v>0</v>
      </c>
      <c r="K44" s="1623">
        <f t="shared" si="6"/>
        <v>0</v>
      </c>
      <c r="L44" s="453"/>
    </row>
    <row r="45" spans="1:12" ht="15.75" customHeight="1" thickTop="1" x14ac:dyDescent="0.2">
      <c r="A45" s="2286" t="s">
        <v>108</v>
      </c>
      <c r="B45" s="2287"/>
      <c r="C45" s="1624"/>
      <c r="D45" s="1624"/>
      <c r="E45" s="1624"/>
      <c r="F45" s="1624"/>
      <c r="G45" s="1624"/>
      <c r="H45" s="1624"/>
      <c r="I45" s="1624"/>
      <c r="J45" s="1624"/>
      <c r="K45" s="1624"/>
      <c r="L45" s="325"/>
    </row>
    <row r="46" spans="1:12" s="433" customFormat="1" ht="15.75" customHeight="1" x14ac:dyDescent="0.2">
      <c r="A46" s="2294" t="s">
        <v>109</v>
      </c>
      <c r="B46" s="2295"/>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33000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68" t="s">
        <v>437</v>
      </c>
      <c r="B76" s="2269"/>
      <c r="C76" s="1623">
        <f t="shared" ref="C76:K76" si="7">SUM(C47:C75)</f>
        <v>0</v>
      </c>
      <c r="D76" s="1623">
        <f t="shared" si="7"/>
        <v>0</v>
      </c>
      <c r="E76" s="1623">
        <f t="shared" si="7"/>
        <v>0</v>
      </c>
      <c r="F76" s="1623">
        <f t="shared" si="7"/>
        <v>0</v>
      </c>
      <c r="G76" s="1623">
        <f t="shared" si="7"/>
        <v>0</v>
      </c>
      <c r="H76" s="1623">
        <f t="shared" si="7"/>
        <v>0</v>
      </c>
      <c r="I76" s="1623">
        <f t="shared" si="7"/>
        <v>33000</v>
      </c>
      <c r="J76" s="1623">
        <f t="shared" si="7"/>
        <v>0</v>
      </c>
      <c r="K76" s="1623">
        <f t="shared" si="7"/>
        <v>0</v>
      </c>
      <c r="L76" s="453"/>
    </row>
    <row r="77" spans="1:12" ht="14.25" thickTop="1" thickBot="1" x14ac:dyDescent="0.25">
      <c r="A77" s="2270" t="s">
        <v>1167</v>
      </c>
      <c r="B77" s="2271"/>
      <c r="C77" s="1623">
        <f t="shared" ref="C77:K77" si="8">C44-C76</f>
        <v>0</v>
      </c>
      <c r="D77" s="1623">
        <f t="shared" si="8"/>
        <v>0</v>
      </c>
      <c r="E77" s="1623">
        <f t="shared" si="8"/>
        <v>0</v>
      </c>
      <c r="F77" s="1623">
        <f t="shared" si="8"/>
        <v>0</v>
      </c>
      <c r="G77" s="1623">
        <f t="shared" si="8"/>
        <v>0</v>
      </c>
      <c r="H77" s="1623">
        <f t="shared" si="8"/>
        <v>33000</v>
      </c>
      <c r="I77" s="1623">
        <f t="shared" si="8"/>
        <v>-33000</v>
      </c>
      <c r="J77" s="1623">
        <f t="shared" si="8"/>
        <v>0</v>
      </c>
      <c r="K77" s="1623">
        <f t="shared" si="8"/>
        <v>0</v>
      </c>
      <c r="L77" s="325"/>
    </row>
    <row r="78" spans="1:12" ht="21.75" customHeight="1" thickTop="1" thickBot="1" x14ac:dyDescent="0.25">
      <c r="A78" s="2274" t="s">
        <v>593</v>
      </c>
      <c r="B78" s="2275"/>
      <c r="C78" s="1628">
        <f t="shared" ref="C78:K78" si="9">C20+C77</f>
        <v>285840</v>
      </c>
      <c r="D78" s="1628">
        <f t="shared" si="9"/>
        <v>9928</v>
      </c>
      <c r="E78" s="1628">
        <f t="shared" si="9"/>
        <v>2817</v>
      </c>
      <c r="F78" s="1628">
        <f t="shared" si="9"/>
        <v>-7938</v>
      </c>
      <c r="G78" s="1628">
        <f t="shared" si="9"/>
        <v>10146</v>
      </c>
      <c r="H78" s="1628">
        <f t="shared" si="9"/>
        <v>58490</v>
      </c>
      <c r="I78" s="1628">
        <f t="shared" si="9"/>
        <v>414</v>
      </c>
      <c r="J78" s="1628">
        <f t="shared" si="9"/>
        <v>48753</v>
      </c>
      <c r="K78" s="1628">
        <f t="shared" si="9"/>
        <v>24801</v>
      </c>
      <c r="L78" s="457"/>
    </row>
    <row r="79" spans="1:12" ht="13.5" thickTop="1" x14ac:dyDescent="0.2">
      <c r="A79" s="1843" t="str">
        <f>"Fund Balances - July 1, "&amp;'AFR20'!E2-1</f>
        <v>Fund Balances - July 1, 2019</v>
      </c>
      <c r="B79" s="458"/>
      <c r="C79" s="1582">
        <v>1001627</v>
      </c>
      <c r="D79" s="1582">
        <v>597662</v>
      </c>
      <c r="E79" s="1629">
        <v>84085</v>
      </c>
      <c r="F79" s="1629">
        <v>598784</v>
      </c>
      <c r="G79" s="1629">
        <v>209405</v>
      </c>
      <c r="H79" s="1629">
        <v>51609</v>
      </c>
      <c r="I79" s="1629">
        <v>769589</v>
      </c>
      <c r="J79" s="1629">
        <v>56784</v>
      </c>
      <c r="K79" s="1629">
        <v>12269</v>
      </c>
      <c r="L79" s="325"/>
    </row>
    <row r="80" spans="1:12" x14ac:dyDescent="0.2">
      <c r="A80" s="2280" t="s">
        <v>1772</v>
      </c>
      <c r="B80" s="2281"/>
      <c r="C80" s="1573">
        <v>0</v>
      </c>
      <c r="D80" s="1573">
        <v>0</v>
      </c>
      <c r="E80" s="1573">
        <v>0</v>
      </c>
      <c r="F80" s="1573">
        <v>0</v>
      </c>
      <c r="G80" s="1573">
        <v>0</v>
      </c>
      <c r="H80" s="1573">
        <v>0</v>
      </c>
      <c r="I80" s="1573">
        <v>0</v>
      </c>
      <c r="J80" s="1573">
        <v>0</v>
      </c>
      <c r="K80" s="1573">
        <v>0</v>
      </c>
      <c r="L80" s="325"/>
    </row>
    <row r="81" spans="1:12" ht="13.5" thickBot="1" x14ac:dyDescent="0.25">
      <c r="A81" s="2272" t="str">
        <f>"Fund Balances - June 30, "&amp;'AFR20'!E2</f>
        <v>Fund Balances - June 30, 2020</v>
      </c>
      <c r="B81" s="2273"/>
      <c r="C81" s="1593">
        <f>(SUM(C78:C80))</f>
        <v>1287467</v>
      </c>
      <c r="D81" s="1593">
        <f>SUM(D78:D80)</f>
        <v>607590</v>
      </c>
      <c r="E81" s="1593">
        <f t="shared" ref="E81:K81" si="10">SUM(E78:E80)</f>
        <v>86902</v>
      </c>
      <c r="F81" s="1593">
        <f t="shared" si="10"/>
        <v>590846</v>
      </c>
      <c r="G81" s="1593">
        <f t="shared" si="10"/>
        <v>219551</v>
      </c>
      <c r="H81" s="1593">
        <f t="shared" si="10"/>
        <v>110099</v>
      </c>
      <c r="I81" s="1593">
        <f t="shared" si="10"/>
        <v>770003</v>
      </c>
      <c r="J81" s="1593">
        <f t="shared" si="10"/>
        <v>105537</v>
      </c>
      <c r="K81" s="1593">
        <f t="shared" si="10"/>
        <v>37070</v>
      </c>
      <c r="L81" s="325"/>
    </row>
    <row r="82" spans="1:12" ht="0.75" customHeight="1" thickTop="1" thickBot="1" x14ac:dyDescent="0.25">
      <c r="A82" s="459" t="s">
        <v>340</v>
      </c>
      <c r="B82" s="460"/>
      <c r="C82" s="461">
        <f>(C81-C79)</f>
        <v>285840</v>
      </c>
      <c r="D82" s="461">
        <f t="shared" ref="D82:K82" si="11">(D81-D79)</f>
        <v>9928</v>
      </c>
      <c r="E82" s="461">
        <f t="shared" si="11"/>
        <v>2817</v>
      </c>
      <c r="F82" s="461">
        <f t="shared" si="11"/>
        <v>-7938</v>
      </c>
      <c r="G82" s="461">
        <f t="shared" si="11"/>
        <v>10146</v>
      </c>
      <c r="H82" s="461">
        <f t="shared" si="11"/>
        <v>58490</v>
      </c>
      <c r="I82" s="461">
        <f t="shared" si="11"/>
        <v>414</v>
      </c>
      <c r="J82" s="461">
        <f t="shared" si="11"/>
        <v>48753</v>
      </c>
      <c r="K82" s="461">
        <f t="shared" si="11"/>
        <v>24801</v>
      </c>
    </row>
    <row r="83" spans="1:12" ht="14.25" hidden="1" thickTop="1" thickBot="1" x14ac:dyDescent="0.25">
      <c r="A83" s="462" t="s">
        <v>341</v>
      </c>
      <c r="B83" s="428"/>
      <c r="C83" s="463">
        <f>C82/C81</f>
        <v>0.2220173410269933</v>
      </c>
      <c r="D83" s="463">
        <f t="shared" ref="D83:K83" si="12">D82/D81</f>
        <v>1.6339966095557861E-2</v>
      </c>
      <c r="E83" s="463">
        <f t="shared" si="12"/>
        <v>3.2415824722100757E-2</v>
      </c>
      <c r="F83" s="463">
        <f t="shared" si="12"/>
        <v>-1.3434972903260747E-2</v>
      </c>
      <c r="G83" s="463">
        <f t="shared" si="12"/>
        <v>4.6212497324084154E-2</v>
      </c>
      <c r="H83" s="463">
        <f t="shared" si="12"/>
        <v>0.53124914849362848</v>
      </c>
      <c r="I83" s="463">
        <f t="shared" si="12"/>
        <v>5.3766024288217056E-4</v>
      </c>
      <c r="J83" s="463">
        <f t="shared" si="12"/>
        <v>0.46195173256772504</v>
      </c>
      <c r="K83" s="463">
        <f t="shared" si="12"/>
        <v>0.66903156190990021</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6" sqref="T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6" t="s">
        <v>1779</v>
      </c>
      <c r="B1" s="416"/>
      <c r="C1" s="417" t="s">
        <v>422</v>
      </c>
      <c r="D1" s="417" t="s">
        <v>423</v>
      </c>
      <c r="E1" s="417" t="s">
        <v>424</v>
      </c>
      <c r="F1" s="417" t="s">
        <v>425</v>
      </c>
      <c r="G1" s="417" t="s">
        <v>426</v>
      </c>
      <c r="H1" s="417" t="s">
        <v>427</v>
      </c>
      <c r="I1" s="417" t="s">
        <v>428</v>
      </c>
      <c r="J1" s="417" t="s">
        <v>429</v>
      </c>
      <c r="K1" s="417" t="s">
        <v>751</v>
      </c>
    </row>
    <row r="2" spans="1:12" ht="36" x14ac:dyDescent="0.2">
      <c r="A2" s="227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2120144</v>
      </c>
      <c r="D5" s="1585">
        <v>265017</v>
      </c>
      <c r="E5" s="1572">
        <v>227393</v>
      </c>
      <c r="F5" s="1630">
        <v>106007</v>
      </c>
      <c r="G5" s="1572">
        <v>44858</v>
      </c>
      <c r="H5" s="1572">
        <v>0</v>
      </c>
      <c r="I5" s="1572">
        <v>26502</v>
      </c>
      <c r="J5" s="1573">
        <v>256177</v>
      </c>
      <c r="K5" s="1572">
        <v>26498</v>
      </c>
    </row>
    <row r="6" spans="1:12" ht="15" x14ac:dyDescent="0.2">
      <c r="A6" s="427" t="s">
        <v>1643</v>
      </c>
      <c r="B6" s="429">
        <v>1130</v>
      </c>
      <c r="C6" s="1572">
        <v>26502</v>
      </c>
      <c r="D6" s="1572">
        <v>0</v>
      </c>
      <c r="E6" s="1579"/>
      <c r="F6" s="1579"/>
      <c r="G6" s="1574"/>
      <c r="H6" s="1574"/>
      <c r="I6" s="1574"/>
      <c r="J6" s="1574"/>
      <c r="K6" s="1574"/>
    </row>
    <row r="7" spans="1:12" x14ac:dyDescent="0.2">
      <c r="A7" s="427" t="s">
        <v>110</v>
      </c>
      <c r="B7" s="471">
        <v>1140</v>
      </c>
      <c r="C7" s="1572">
        <v>21202</v>
      </c>
      <c r="D7" s="1572">
        <v>0</v>
      </c>
      <c r="E7" s="1574"/>
      <c r="F7" s="1573">
        <v>0</v>
      </c>
      <c r="G7" s="1573">
        <v>0</v>
      </c>
      <c r="H7" s="1573">
        <v>0</v>
      </c>
      <c r="I7" s="1574"/>
      <c r="J7" s="1574"/>
      <c r="K7" s="1574"/>
    </row>
    <row r="8" spans="1:12" x14ac:dyDescent="0.2">
      <c r="A8" s="427" t="s">
        <v>410</v>
      </c>
      <c r="B8" s="429">
        <v>1150</v>
      </c>
      <c r="C8" s="1579"/>
      <c r="D8" s="1579"/>
      <c r="E8" s="1581"/>
      <c r="F8" s="1581"/>
      <c r="G8" s="1585">
        <v>65980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2167848</v>
      </c>
      <c r="D12" s="1632">
        <f t="shared" si="0"/>
        <v>265017</v>
      </c>
      <c r="E12" s="1632">
        <f t="shared" si="0"/>
        <v>227393</v>
      </c>
      <c r="F12" s="1632">
        <f t="shared" si="0"/>
        <v>106007</v>
      </c>
      <c r="G12" s="1632">
        <f t="shared" si="0"/>
        <v>110838</v>
      </c>
      <c r="H12" s="1632">
        <f t="shared" si="0"/>
        <v>0</v>
      </c>
      <c r="I12" s="1632">
        <f t="shared" si="0"/>
        <v>26502</v>
      </c>
      <c r="J12" s="1632">
        <f t="shared" si="0"/>
        <v>256177</v>
      </c>
      <c r="K12" s="1593">
        <f t="shared" si="0"/>
        <v>26498</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112</v>
      </c>
      <c r="D14" s="1572">
        <v>14</v>
      </c>
      <c r="E14" s="1572">
        <v>12</v>
      </c>
      <c r="F14" s="1572">
        <v>5</v>
      </c>
      <c r="G14" s="1572">
        <v>6</v>
      </c>
      <c r="H14" s="1572">
        <v>0</v>
      </c>
      <c r="I14" s="1572">
        <v>1</v>
      </c>
      <c r="J14" s="1573">
        <v>13</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72046</v>
      </c>
      <c r="D16" s="1572">
        <v>0</v>
      </c>
      <c r="E16" s="1572">
        <v>0</v>
      </c>
      <c r="F16" s="1572">
        <v>0</v>
      </c>
      <c r="G16" s="1572">
        <v>10000</v>
      </c>
      <c r="H16" s="1572">
        <v>0</v>
      </c>
      <c r="I16" s="1572">
        <v>0</v>
      </c>
      <c r="J16" s="1573">
        <v>0</v>
      </c>
      <c r="K16" s="1572">
        <v>0</v>
      </c>
    </row>
    <row r="17" spans="1:11" ht="12.75" customHeight="1" x14ac:dyDescent="0.2">
      <c r="A17" s="427" t="s">
        <v>802</v>
      </c>
      <c r="B17" s="429">
        <v>1290</v>
      </c>
      <c r="C17" s="1631">
        <v>293</v>
      </c>
      <c r="D17" s="1572">
        <v>35</v>
      </c>
      <c r="E17" s="1572">
        <v>31</v>
      </c>
      <c r="F17" s="1572">
        <v>14</v>
      </c>
      <c r="G17" s="1572">
        <v>15</v>
      </c>
      <c r="H17" s="1572">
        <v>0</v>
      </c>
      <c r="I17" s="1572">
        <v>4</v>
      </c>
      <c r="J17" s="1573">
        <v>34</v>
      </c>
      <c r="K17" s="1572">
        <v>0</v>
      </c>
    </row>
    <row r="18" spans="1:11" ht="12.75" customHeight="1" thickBot="1" x14ac:dyDescent="0.25">
      <c r="A18" s="1405" t="s">
        <v>534</v>
      </c>
      <c r="B18" s="1406"/>
      <c r="C18" s="1634">
        <f>SUM(C14:C17)</f>
        <v>72451</v>
      </c>
      <c r="D18" s="1634">
        <f t="shared" ref="D18:K18" si="1">SUM(D14:D17)</f>
        <v>49</v>
      </c>
      <c r="E18" s="1634">
        <f t="shared" si="1"/>
        <v>43</v>
      </c>
      <c r="F18" s="1634">
        <f t="shared" si="1"/>
        <v>19</v>
      </c>
      <c r="G18" s="1634">
        <f t="shared" si="1"/>
        <v>10021</v>
      </c>
      <c r="H18" s="1634">
        <f t="shared" si="1"/>
        <v>0</v>
      </c>
      <c r="I18" s="1634">
        <f t="shared" si="1"/>
        <v>5</v>
      </c>
      <c r="J18" s="1634">
        <f t="shared" si="1"/>
        <v>47</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12174</v>
      </c>
      <c r="D65" s="1572">
        <v>2968</v>
      </c>
      <c r="E65" s="1572">
        <v>2196</v>
      </c>
      <c r="F65" s="1573">
        <v>2962</v>
      </c>
      <c r="G65" s="1572">
        <v>1639</v>
      </c>
      <c r="H65" s="1572">
        <v>0</v>
      </c>
      <c r="I65" s="1572">
        <v>6907</v>
      </c>
      <c r="J65" s="1573">
        <v>308</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12174</v>
      </c>
      <c r="D67" s="1593">
        <f t="shared" ref="D67:K67" si="2">SUM(D65:D66)</f>
        <v>2968</v>
      </c>
      <c r="E67" s="1593">
        <f t="shared" si="2"/>
        <v>2196</v>
      </c>
      <c r="F67" s="1593">
        <f t="shared" si="2"/>
        <v>2962</v>
      </c>
      <c r="G67" s="1593">
        <f t="shared" si="2"/>
        <v>1639</v>
      </c>
      <c r="H67" s="1593">
        <f t="shared" si="2"/>
        <v>0</v>
      </c>
      <c r="I67" s="1593">
        <f t="shared" si="2"/>
        <v>6907</v>
      </c>
      <c r="J67" s="1593">
        <f t="shared" si="2"/>
        <v>308</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27596</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27596</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4221</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27578</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15708</v>
      </c>
      <c r="D81" s="1572">
        <v>0</v>
      </c>
      <c r="E81" s="1574"/>
      <c r="F81" s="1574"/>
      <c r="G81" s="1574"/>
      <c r="H81" s="1574"/>
      <c r="I81" s="1574"/>
      <c r="J81" s="1574"/>
      <c r="K81" s="1574"/>
    </row>
    <row r="82" spans="1:11" ht="12.75" customHeight="1" thickBot="1" x14ac:dyDescent="0.25">
      <c r="A82" s="1405" t="s">
        <v>239</v>
      </c>
      <c r="B82" s="1406"/>
      <c r="C82" s="1632">
        <f>SUM(C77:C81)</f>
        <v>47507</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220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220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0</v>
      </c>
      <c r="D95" s="1631">
        <v>12000</v>
      </c>
      <c r="E95" s="1616"/>
      <c r="F95" s="1616"/>
      <c r="G95" s="1616"/>
      <c r="H95" s="1616"/>
      <c r="I95" s="1616"/>
      <c r="J95" s="1616"/>
      <c r="K95" s="1616"/>
    </row>
    <row r="96" spans="1:11" ht="12.75" customHeight="1" x14ac:dyDescent="0.2">
      <c r="A96" s="427" t="s">
        <v>388</v>
      </c>
      <c r="B96" s="429">
        <v>1920</v>
      </c>
      <c r="C96" s="1631">
        <v>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295</v>
      </c>
      <c r="D99" s="1572">
        <v>11400</v>
      </c>
      <c r="E99" s="1572">
        <v>0</v>
      </c>
      <c r="F99" s="1572">
        <v>0</v>
      </c>
      <c r="G99" s="1572">
        <v>0</v>
      </c>
      <c r="H99" s="1572">
        <v>60000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1777</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1413</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842</v>
      </c>
      <c r="D107" s="1572">
        <v>752</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2914</v>
      </c>
      <c r="D108" s="1632">
        <f t="shared" ref="D108:K108" si="3">SUM(D95:D107)</f>
        <v>24152</v>
      </c>
      <c r="E108" s="1632">
        <f t="shared" si="3"/>
        <v>0</v>
      </c>
      <c r="F108" s="1632">
        <f t="shared" si="3"/>
        <v>0</v>
      </c>
      <c r="G108" s="1632">
        <f t="shared" si="3"/>
        <v>0</v>
      </c>
      <c r="H108" s="1632">
        <f t="shared" si="3"/>
        <v>60000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2330710</v>
      </c>
      <c r="D109" s="1640">
        <f t="shared" si="4"/>
        <v>292186</v>
      </c>
      <c r="E109" s="1640">
        <f t="shared" si="4"/>
        <v>229632</v>
      </c>
      <c r="F109" s="1640">
        <f t="shared" si="4"/>
        <v>108988</v>
      </c>
      <c r="G109" s="1640">
        <f t="shared" si="4"/>
        <v>122498</v>
      </c>
      <c r="H109" s="1640">
        <f t="shared" si="4"/>
        <v>60000</v>
      </c>
      <c r="I109" s="1640">
        <f t="shared" si="4"/>
        <v>33414</v>
      </c>
      <c r="J109" s="1640">
        <f t="shared" si="4"/>
        <v>256532</v>
      </c>
      <c r="K109" s="1628">
        <f t="shared" si="4"/>
        <v>26498</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345311</v>
      </c>
      <c r="D117" s="1585">
        <v>0</v>
      </c>
      <c r="E117" s="1572">
        <v>0</v>
      </c>
      <c r="F117" s="1585">
        <v>0</v>
      </c>
      <c r="G117" s="1585">
        <v>0</v>
      </c>
      <c r="H117" s="1572">
        <v>0</v>
      </c>
      <c r="I117" s="1574"/>
      <c r="J117" s="1573">
        <v>0</v>
      </c>
      <c r="K117" s="1572">
        <v>0</v>
      </c>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1895</v>
      </c>
      <c r="B120" s="478">
        <v>3030</v>
      </c>
      <c r="C120" s="1631">
        <v>0</v>
      </c>
      <c r="D120" s="1572">
        <v>0</v>
      </c>
      <c r="E120" s="1572">
        <v>0</v>
      </c>
      <c r="F120" s="1572">
        <v>0</v>
      </c>
      <c r="G120" s="1572">
        <v>0</v>
      </c>
      <c r="H120" s="1572">
        <v>0</v>
      </c>
      <c r="I120" s="1574"/>
      <c r="J120" s="1573">
        <v>0</v>
      </c>
      <c r="K120" s="1572">
        <v>0</v>
      </c>
    </row>
    <row r="121" spans="1:11" x14ac:dyDescent="0.2">
      <c r="A121" s="1265" t="s">
        <v>1778</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345311</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39604</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39604</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1366</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1366</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691</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2332</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73964</v>
      </c>
      <c r="G152" s="1573">
        <v>0</v>
      </c>
      <c r="H152" s="1574"/>
      <c r="I152" s="1574"/>
      <c r="J152" s="1574"/>
      <c r="K152" s="1574"/>
    </row>
    <row r="153" spans="1:11" ht="12.75" customHeight="1" x14ac:dyDescent="0.2">
      <c r="A153" s="427" t="s">
        <v>1048</v>
      </c>
      <c r="B153" s="478">
        <v>3510</v>
      </c>
      <c r="C153" s="1631">
        <v>0</v>
      </c>
      <c r="D153" s="1572">
        <v>0</v>
      </c>
      <c r="E153" s="1639"/>
      <c r="F153" s="1572">
        <v>71141</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145105</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50000</v>
      </c>
      <c r="I167" s="1574"/>
      <c r="J167" s="1574"/>
      <c r="K167" s="1625">
        <v>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96" t="s">
        <v>395</v>
      </c>
      <c r="B169" s="2297"/>
      <c r="C169" s="1657">
        <f t="shared" ref="C169:K169" si="6">SUM(C132,C141,C145,C146:C150,C155,C156:C167,C168)</f>
        <v>44743</v>
      </c>
      <c r="D169" s="1657">
        <f t="shared" si="6"/>
        <v>0</v>
      </c>
      <c r="E169" s="1657">
        <f t="shared" si="6"/>
        <v>0</v>
      </c>
      <c r="F169" s="1657">
        <f t="shared" si="6"/>
        <v>145105</v>
      </c>
      <c r="G169" s="1657">
        <f t="shared" si="6"/>
        <v>0</v>
      </c>
      <c r="H169" s="1657">
        <f t="shared" si="6"/>
        <v>50000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390054</v>
      </c>
      <c r="D170" s="1640">
        <f t="shared" si="7"/>
        <v>0</v>
      </c>
      <c r="E170" s="1640">
        <f t="shared" si="7"/>
        <v>0</v>
      </c>
      <c r="F170" s="1640">
        <f t="shared" si="7"/>
        <v>145105</v>
      </c>
      <c r="G170" s="1640">
        <f t="shared" si="7"/>
        <v>0</v>
      </c>
      <c r="H170" s="1640">
        <f t="shared" si="7"/>
        <v>50000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98" t="s">
        <v>1475</v>
      </c>
      <c r="B172" s="2299"/>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c r="J173" s="1573">
        <v>0</v>
      </c>
      <c r="K173" s="1573">
        <v>0</v>
      </c>
    </row>
    <row r="174" spans="1:11" ht="22.5" x14ac:dyDescent="0.2">
      <c r="A174" s="479" t="s">
        <v>800</v>
      </c>
      <c r="B174" s="485">
        <v>4009</v>
      </c>
      <c r="C174" s="1631">
        <v>0</v>
      </c>
      <c r="D174" s="1572">
        <v>0</v>
      </c>
      <c r="E174" s="1573">
        <v>0</v>
      </c>
      <c r="F174" s="1572">
        <v>0</v>
      </c>
      <c r="G174" s="1572">
        <v>0</v>
      </c>
      <c r="H174" s="1573">
        <v>0</v>
      </c>
      <c r="I174" s="1573"/>
      <c r="J174" s="1573">
        <v>0</v>
      </c>
      <c r="K174" s="1573">
        <v>0</v>
      </c>
    </row>
    <row r="175" spans="1:11" ht="13.5" thickBot="1" x14ac:dyDescent="0.25">
      <c r="A175" s="2302" t="s">
        <v>1646</v>
      </c>
      <c r="B175" s="2303"/>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306" t="s">
        <v>1645</v>
      </c>
      <c r="B176" s="2307"/>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21768</v>
      </c>
      <c r="D180" s="1572">
        <v>0</v>
      </c>
      <c r="E180" s="1574"/>
      <c r="F180" s="1572">
        <v>0</v>
      </c>
      <c r="G180" s="1572">
        <v>0</v>
      </c>
      <c r="H180" s="1572">
        <v>0</v>
      </c>
      <c r="I180" s="1574"/>
      <c r="J180" s="1574"/>
      <c r="K180" s="1572">
        <v>0</v>
      </c>
    </row>
    <row r="181" spans="1:11" ht="13.5" thickBot="1" x14ac:dyDescent="0.25">
      <c r="A181" s="2304" t="s">
        <v>780</v>
      </c>
      <c r="B181" s="2305"/>
      <c r="C181" s="1632">
        <f>SUM(C177:C180)</f>
        <v>21768</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300" t="s">
        <v>1780</v>
      </c>
      <c r="B182" s="2301"/>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35696</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13304</v>
      </c>
      <c r="D193" s="1574"/>
      <c r="E193" s="1639"/>
      <c r="F193" s="1574"/>
      <c r="G193" s="1663">
        <v>0</v>
      </c>
      <c r="H193" s="1574"/>
      <c r="I193" s="1574"/>
      <c r="J193" s="1574"/>
      <c r="K193" s="1574"/>
    </row>
    <row r="194" spans="1:11" ht="12.75" customHeight="1" x14ac:dyDescent="0.2">
      <c r="A194" s="427" t="s">
        <v>1434</v>
      </c>
      <c r="B194" s="429">
        <v>4225</v>
      </c>
      <c r="C194" s="1631">
        <v>36528</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85528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46231</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46231</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10596</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10596</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1069</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122276</v>
      </c>
      <c r="D213" s="1572">
        <v>0</v>
      </c>
      <c r="E213" s="1574"/>
      <c r="F213" s="1572">
        <v>0</v>
      </c>
      <c r="G213" s="1572">
        <v>0</v>
      </c>
      <c r="H213" s="1574"/>
      <c r="I213" s="1574"/>
      <c r="J213" s="1574"/>
      <c r="K213" s="1574"/>
    </row>
    <row r="214" spans="1:11" ht="12.75" customHeight="1" x14ac:dyDescent="0.2">
      <c r="A214" s="427" t="s">
        <v>1045</v>
      </c>
      <c r="B214" s="429">
        <v>4625</v>
      </c>
      <c r="C214" s="1631">
        <v>0</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123345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c r="F223" s="1573">
        <v>0</v>
      </c>
      <c r="G223" s="1573">
        <v>0</v>
      </c>
      <c r="H223" s="1573">
        <v>0</v>
      </c>
      <c r="I223" s="1574"/>
      <c r="J223" s="1573"/>
      <c r="K223" s="1573"/>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c r="F225" s="1573">
        <v>0</v>
      </c>
      <c r="G225" s="1573">
        <v>0</v>
      </c>
      <c r="H225" s="1573">
        <v>0</v>
      </c>
      <c r="I225" s="1574"/>
      <c r="J225" s="1573"/>
      <c r="K225" s="1573"/>
    </row>
    <row r="226" spans="1:11" ht="12.75" customHeight="1" x14ac:dyDescent="0.2">
      <c r="A226" s="436" t="s">
        <v>350</v>
      </c>
      <c r="B226" s="435">
        <v>4853</v>
      </c>
      <c r="C226" s="1597">
        <v>0</v>
      </c>
      <c r="D226" s="1573">
        <v>0</v>
      </c>
      <c r="E226" s="1573"/>
      <c r="F226" s="1573">
        <v>0</v>
      </c>
      <c r="G226" s="1573">
        <v>0</v>
      </c>
      <c r="H226" s="1573">
        <v>0</v>
      </c>
      <c r="I226" s="1574"/>
      <c r="J226" s="1573"/>
      <c r="K226" s="1573"/>
    </row>
    <row r="227" spans="1:11" ht="12.75" customHeight="1" x14ac:dyDescent="0.2">
      <c r="A227" s="436" t="s">
        <v>351</v>
      </c>
      <c r="B227" s="435">
        <v>4854</v>
      </c>
      <c r="C227" s="1597">
        <v>0</v>
      </c>
      <c r="D227" s="1573">
        <v>0</v>
      </c>
      <c r="E227" s="1573"/>
      <c r="F227" s="1573">
        <v>0</v>
      </c>
      <c r="G227" s="1573">
        <v>0</v>
      </c>
      <c r="H227" s="1573">
        <v>0</v>
      </c>
      <c r="I227" s="1574"/>
      <c r="J227" s="1573"/>
      <c r="K227" s="1573"/>
    </row>
    <row r="228" spans="1:11" ht="12.75" customHeight="1" x14ac:dyDescent="0.2">
      <c r="A228" s="436" t="s">
        <v>461</v>
      </c>
      <c r="B228" s="435">
        <v>4855</v>
      </c>
      <c r="C228" s="1597">
        <v>0</v>
      </c>
      <c r="D228" s="1573">
        <v>0</v>
      </c>
      <c r="E228" s="1573"/>
      <c r="F228" s="1573">
        <v>0</v>
      </c>
      <c r="G228" s="1573">
        <v>0</v>
      </c>
      <c r="H228" s="1573">
        <v>0</v>
      </c>
      <c r="I228" s="1574"/>
      <c r="J228" s="1573"/>
      <c r="K228" s="1573"/>
    </row>
    <row r="229" spans="1:11" ht="12.75" customHeight="1" x14ac:dyDescent="0.2">
      <c r="A229" s="436" t="s">
        <v>352</v>
      </c>
      <c r="B229" s="435">
        <v>4856</v>
      </c>
      <c r="C229" s="1597">
        <v>0</v>
      </c>
      <c r="D229" s="1573">
        <v>0</v>
      </c>
      <c r="E229" s="1573"/>
      <c r="F229" s="1573">
        <v>0</v>
      </c>
      <c r="G229" s="1573">
        <v>0</v>
      </c>
      <c r="H229" s="1573">
        <v>0</v>
      </c>
      <c r="I229" s="1574"/>
      <c r="J229" s="1573"/>
      <c r="K229" s="1573"/>
    </row>
    <row r="230" spans="1:11" ht="12.75" customHeight="1" x14ac:dyDescent="0.2">
      <c r="A230" s="436" t="s">
        <v>353</v>
      </c>
      <c r="B230" s="435">
        <v>4857</v>
      </c>
      <c r="C230" s="1597">
        <v>0</v>
      </c>
      <c r="D230" s="1573">
        <v>0</v>
      </c>
      <c r="E230" s="1573"/>
      <c r="F230" s="1573">
        <v>0</v>
      </c>
      <c r="G230" s="1573">
        <v>0</v>
      </c>
      <c r="H230" s="1573">
        <v>0</v>
      </c>
      <c r="I230" s="1574"/>
      <c r="J230" s="1573"/>
      <c r="K230" s="1573"/>
    </row>
    <row r="231" spans="1:11" ht="12.75" customHeight="1" x14ac:dyDescent="0.2">
      <c r="A231" s="436" t="s">
        <v>354</v>
      </c>
      <c r="B231" s="435">
        <v>4860</v>
      </c>
      <c r="C231" s="1597">
        <v>0</v>
      </c>
      <c r="D231" s="1573">
        <v>0</v>
      </c>
      <c r="E231" s="1573"/>
      <c r="F231" s="1573">
        <v>0</v>
      </c>
      <c r="G231" s="1573">
        <v>0</v>
      </c>
      <c r="H231" s="1573">
        <v>0</v>
      </c>
      <c r="I231" s="1574"/>
      <c r="J231" s="1573"/>
      <c r="K231" s="1573"/>
    </row>
    <row r="232" spans="1:11" ht="12.75" customHeight="1" x14ac:dyDescent="0.2">
      <c r="A232" s="436" t="s">
        <v>355</v>
      </c>
      <c r="B232" s="435">
        <v>4861</v>
      </c>
      <c r="C232" s="1597">
        <v>0</v>
      </c>
      <c r="D232" s="1573">
        <v>0</v>
      </c>
      <c r="E232" s="1573"/>
      <c r="F232" s="1573">
        <v>0</v>
      </c>
      <c r="G232" s="1573">
        <v>0</v>
      </c>
      <c r="H232" s="1573">
        <v>0</v>
      </c>
      <c r="I232" s="1574"/>
      <c r="J232" s="1573"/>
      <c r="K232" s="1573"/>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c r="F235" s="1573">
        <v>0</v>
      </c>
      <c r="G235" s="1573">
        <v>0</v>
      </c>
      <c r="H235" s="1573">
        <v>0</v>
      </c>
      <c r="I235" s="1574"/>
      <c r="J235" s="1573"/>
      <c r="K235" s="1573"/>
    </row>
    <row r="236" spans="1:11" ht="12.75" customHeight="1" x14ac:dyDescent="0.2">
      <c r="A236" s="436" t="s">
        <v>467</v>
      </c>
      <c r="B236" s="435">
        <v>4865</v>
      </c>
      <c r="C236" s="1597">
        <v>0</v>
      </c>
      <c r="D236" s="1573">
        <v>0</v>
      </c>
      <c r="E236" s="1573"/>
      <c r="F236" s="1573">
        <v>0</v>
      </c>
      <c r="G236" s="1573">
        <v>0</v>
      </c>
      <c r="H236" s="1573">
        <v>0</v>
      </c>
      <c r="I236" s="1574"/>
      <c r="J236" s="1573"/>
      <c r="K236" s="1573"/>
    </row>
    <row r="237" spans="1:11" ht="12.75" customHeight="1" x14ac:dyDescent="0.2">
      <c r="A237" s="436" t="s">
        <v>465</v>
      </c>
      <c r="B237" s="435">
        <v>4866</v>
      </c>
      <c r="C237" s="1597">
        <v>0</v>
      </c>
      <c r="D237" s="1573">
        <v>0</v>
      </c>
      <c r="E237" s="1573">
        <v>0</v>
      </c>
      <c r="F237" s="1573">
        <v>0</v>
      </c>
      <c r="G237" s="1573">
        <v>0</v>
      </c>
      <c r="H237" s="1573">
        <v>0</v>
      </c>
      <c r="I237" s="1574"/>
      <c r="J237" s="1573"/>
      <c r="K237" s="1573"/>
    </row>
    <row r="238" spans="1:11" ht="12.75" customHeight="1" x14ac:dyDescent="0.2">
      <c r="A238" s="436" t="s">
        <v>464</v>
      </c>
      <c r="B238" s="435">
        <v>4867</v>
      </c>
      <c r="C238" s="1597">
        <v>0</v>
      </c>
      <c r="D238" s="1573">
        <v>0</v>
      </c>
      <c r="E238" s="1573">
        <v>0</v>
      </c>
      <c r="F238" s="1573">
        <v>0</v>
      </c>
      <c r="G238" s="1573">
        <v>0</v>
      </c>
      <c r="H238" s="1573">
        <v>0</v>
      </c>
      <c r="I238" s="1574"/>
      <c r="J238" s="1573"/>
      <c r="K238" s="1573"/>
    </row>
    <row r="239" spans="1:11" ht="12.75" customHeight="1" x14ac:dyDescent="0.2">
      <c r="A239" s="436" t="s">
        <v>463</v>
      </c>
      <c r="B239" s="435">
        <v>4868</v>
      </c>
      <c r="C239" s="1597">
        <v>0</v>
      </c>
      <c r="D239" s="1573">
        <v>0</v>
      </c>
      <c r="E239" s="1573">
        <v>0</v>
      </c>
      <c r="F239" s="1573">
        <v>0</v>
      </c>
      <c r="G239" s="1573">
        <v>0</v>
      </c>
      <c r="H239" s="1573">
        <v>0</v>
      </c>
      <c r="I239" s="1574"/>
      <c r="J239" s="1573"/>
      <c r="K239" s="1573"/>
    </row>
    <row r="240" spans="1:11" ht="12.75" customHeight="1" x14ac:dyDescent="0.2">
      <c r="A240" s="436" t="s">
        <v>462</v>
      </c>
      <c r="B240" s="435">
        <v>4869</v>
      </c>
      <c r="C240" s="1597">
        <v>0</v>
      </c>
      <c r="D240" s="1573">
        <v>0</v>
      </c>
      <c r="E240" s="1573">
        <v>0</v>
      </c>
      <c r="F240" s="1573">
        <v>0</v>
      </c>
      <c r="G240" s="1573">
        <v>0</v>
      </c>
      <c r="H240" s="1573">
        <v>0</v>
      </c>
      <c r="I240" s="1574"/>
      <c r="J240" s="1573"/>
      <c r="K240" s="1573"/>
    </row>
    <row r="241" spans="1:11" ht="12.75" customHeight="1" x14ac:dyDescent="0.2">
      <c r="A241" s="436" t="s">
        <v>1118</v>
      </c>
      <c r="B241" s="435">
        <v>4870</v>
      </c>
      <c r="C241" s="1597">
        <v>0</v>
      </c>
      <c r="D241" s="1573">
        <v>0</v>
      </c>
      <c r="E241" s="1573"/>
      <c r="F241" s="1573">
        <v>0</v>
      </c>
      <c r="G241" s="1573">
        <v>0</v>
      </c>
      <c r="H241" s="1573">
        <v>0</v>
      </c>
      <c r="I241" s="1574"/>
      <c r="J241" s="1573"/>
      <c r="K241" s="1573"/>
    </row>
    <row r="242" spans="1:11" ht="12.75" customHeight="1" x14ac:dyDescent="0.2">
      <c r="A242" s="436" t="s">
        <v>783</v>
      </c>
      <c r="B242" s="435">
        <v>4871</v>
      </c>
      <c r="C242" s="1597">
        <v>0</v>
      </c>
      <c r="D242" s="1573">
        <v>0</v>
      </c>
      <c r="E242" s="1573"/>
      <c r="F242" s="1573">
        <v>0</v>
      </c>
      <c r="G242" s="1573">
        <v>0</v>
      </c>
      <c r="H242" s="1573">
        <v>0</v>
      </c>
      <c r="I242" s="1574"/>
      <c r="J242" s="1573"/>
      <c r="K242" s="1573"/>
    </row>
    <row r="243" spans="1:11" ht="12.75" customHeight="1" x14ac:dyDescent="0.2">
      <c r="A243" s="436" t="s">
        <v>784</v>
      </c>
      <c r="B243" s="435">
        <v>4872</v>
      </c>
      <c r="C243" s="1597">
        <v>0</v>
      </c>
      <c r="D243" s="1573">
        <v>0</v>
      </c>
      <c r="E243" s="1573"/>
      <c r="F243" s="1573">
        <v>0</v>
      </c>
      <c r="G243" s="1573">
        <v>0</v>
      </c>
      <c r="H243" s="1573">
        <v>0</v>
      </c>
      <c r="I243" s="1574"/>
      <c r="J243" s="1573"/>
      <c r="K243" s="1573"/>
    </row>
    <row r="244" spans="1:11" ht="12.75" customHeight="1" x14ac:dyDescent="0.2">
      <c r="A244" s="436" t="s">
        <v>785</v>
      </c>
      <c r="B244" s="435">
        <v>4873</v>
      </c>
      <c r="C244" s="1597">
        <v>0</v>
      </c>
      <c r="D244" s="1573">
        <v>0</v>
      </c>
      <c r="E244" s="1573"/>
      <c r="F244" s="1573">
        <v>0</v>
      </c>
      <c r="G244" s="1573">
        <v>0</v>
      </c>
      <c r="H244" s="1573">
        <v>0</v>
      </c>
      <c r="I244" s="1574"/>
      <c r="J244" s="1573"/>
      <c r="K244" s="1573"/>
    </row>
    <row r="245" spans="1:11" ht="12.75" customHeight="1" x14ac:dyDescent="0.2">
      <c r="A245" s="436" t="s">
        <v>786</v>
      </c>
      <c r="B245" s="435">
        <v>4874</v>
      </c>
      <c r="C245" s="1597">
        <v>0</v>
      </c>
      <c r="D245" s="1573">
        <v>0</v>
      </c>
      <c r="E245" s="1573"/>
      <c r="F245" s="1573">
        <v>0</v>
      </c>
      <c r="G245" s="1573">
        <v>0</v>
      </c>
      <c r="H245" s="1573">
        <v>0</v>
      </c>
      <c r="I245" s="1574"/>
      <c r="J245" s="1573"/>
      <c r="K245" s="1573"/>
    </row>
    <row r="246" spans="1:11" ht="12.75" customHeight="1" x14ac:dyDescent="0.2">
      <c r="A246" s="436" t="s">
        <v>468</v>
      </c>
      <c r="B246" s="435">
        <v>4875</v>
      </c>
      <c r="C246" s="1597">
        <v>0</v>
      </c>
      <c r="D246" s="1573">
        <v>0</v>
      </c>
      <c r="E246" s="1573"/>
      <c r="F246" s="1573">
        <v>0</v>
      </c>
      <c r="G246" s="1573">
        <v>0</v>
      </c>
      <c r="H246" s="1573">
        <v>0</v>
      </c>
      <c r="I246" s="1574"/>
      <c r="J246" s="1573"/>
      <c r="K246" s="1573"/>
    </row>
    <row r="247" spans="1:11" ht="12.75" customHeight="1" x14ac:dyDescent="0.2">
      <c r="A247" s="436" t="s">
        <v>765</v>
      </c>
      <c r="B247" s="435">
        <v>4876</v>
      </c>
      <c r="C247" s="1597">
        <v>0</v>
      </c>
      <c r="D247" s="1573">
        <v>0</v>
      </c>
      <c r="E247" s="1573"/>
      <c r="F247" s="1573">
        <v>0</v>
      </c>
      <c r="G247" s="1573">
        <v>0</v>
      </c>
      <c r="H247" s="1573">
        <v>0</v>
      </c>
      <c r="I247" s="1574"/>
      <c r="J247" s="1573"/>
      <c r="K247" s="1573"/>
    </row>
    <row r="248" spans="1:11" ht="12.75" customHeight="1" x14ac:dyDescent="0.2">
      <c r="A248" s="436" t="s">
        <v>766</v>
      </c>
      <c r="B248" s="435">
        <v>4877</v>
      </c>
      <c r="C248" s="1597">
        <v>0</v>
      </c>
      <c r="D248" s="1573">
        <v>0</v>
      </c>
      <c r="E248" s="1573"/>
      <c r="F248" s="1573">
        <v>0</v>
      </c>
      <c r="G248" s="1573">
        <v>0</v>
      </c>
      <c r="H248" s="1573">
        <v>0</v>
      </c>
      <c r="I248" s="1574"/>
      <c r="J248" s="1573"/>
      <c r="K248" s="1573"/>
    </row>
    <row r="249" spans="1:11" ht="12.75" customHeight="1" x14ac:dyDescent="0.2">
      <c r="A249" s="436" t="s">
        <v>767</v>
      </c>
      <c r="B249" s="435">
        <v>4878</v>
      </c>
      <c r="C249" s="1597">
        <v>0</v>
      </c>
      <c r="D249" s="1573">
        <v>0</v>
      </c>
      <c r="E249" s="1573"/>
      <c r="F249" s="1573">
        <v>0</v>
      </c>
      <c r="G249" s="1573">
        <v>0</v>
      </c>
      <c r="H249" s="1573">
        <v>0</v>
      </c>
      <c r="I249" s="1574"/>
      <c r="J249" s="1573"/>
      <c r="K249" s="1573"/>
    </row>
    <row r="250" spans="1:11" ht="12.75" customHeight="1" x14ac:dyDescent="0.2">
      <c r="A250" s="436" t="s">
        <v>768</v>
      </c>
      <c r="B250" s="435">
        <v>4879</v>
      </c>
      <c r="C250" s="1597">
        <v>0</v>
      </c>
      <c r="D250" s="1573">
        <v>0</v>
      </c>
      <c r="E250" s="1573"/>
      <c r="F250" s="1573">
        <v>0</v>
      </c>
      <c r="G250" s="1573">
        <v>0</v>
      </c>
      <c r="H250" s="1573">
        <v>0</v>
      </c>
      <c r="I250" s="1574"/>
      <c r="J250" s="1573"/>
      <c r="K250" s="1573"/>
    </row>
    <row r="251" spans="1:11" ht="12.75" customHeight="1" x14ac:dyDescent="0.2">
      <c r="A251" s="220" t="s">
        <v>1438</v>
      </c>
      <c r="B251" s="486">
        <v>4880</v>
      </c>
      <c r="C251" s="1597">
        <v>0</v>
      </c>
      <c r="D251" s="1573">
        <v>0</v>
      </c>
      <c r="E251" s="1573"/>
      <c r="F251" s="1573">
        <v>0</v>
      </c>
      <c r="G251" s="1573">
        <v>0</v>
      </c>
      <c r="H251" s="1573">
        <v>0</v>
      </c>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4522</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1896</v>
      </c>
      <c r="B261" s="429">
        <v>4981</v>
      </c>
      <c r="C261" s="1649">
        <v>0</v>
      </c>
      <c r="D261" s="1650">
        <v>0</v>
      </c>
      <c r="E261" s="1574"/>
      <c r="F261" s="1650">
        <v>0</v>
      </c>
      <c r="G261" s="1650">
        <v>0</v>
      </c>
      <c r="H261" s="1574"/>
      <c r="I261" s="1574"/>
      <c r="J261" s="1574"/>
      <c r="K261" s="1574"/>
    </row>
    <row r="262" spans="1:11" ht="12.75" customHeight="1" thickTop="1" thickBot="1" x14ac:dyDescent="0.25">
      <c r="A262" s="1539" t="s">
        <v>1897</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4227</v>
      </c>
      <c r="D263" s="1650">
        <v>0</v>
      </c>
      <c r="E263" s="1574"/>
      <c r="F263" s="1650">
        <v>0</v>
      </c>
      <c r="G263" s="1650">
        <v>0</v>
      </c>
      <c r="H263" s="1574"/>
      <c r="I263" s="1574"/>
      <c r="J263" s="1574"/>
      <c r="K263" s="1574"/>
    </row>
    <row r="264" spans="1:11" ht="12.75" customHeight="1" thickTop="1" thickBot="1" x14ac:dyDescent="0.25">
      <c r="A264" s="427" t="s">
        <v>374</v>
      </c>
      <c r="B264" s="429">
        <v>4992</v>
      </c>
      <c r="C264" s="1649">
        <v>2761</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277210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298978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3019742</v>
      </c>
      <c r="D268" s="1640">
        <f t="shared" si="12"/>
        <v>292186</v>
      </c>
      <c r="E268" s="1640">
        <f t="shared" si="12"/>
        <v>229632</v>
      </c>
      <c r="F268" s="1640">
        <f t="shared" si="12"/>
        <v>254093</v>
      </c>
      <c r="G268" s="1640">
        <f t="shared" si="12"/>
        <v>122498</v>
      </c>
      <c r="H268" s="1640">
        <f t="shared" si="12"/>
        <v>110000</v>
      </c>
      <c r="I268" s="1640">
        <f t="shared" si="12"/>
        <v>33414</v>
      </c>
      <c r="J268" s="1640">
        <f t="shared" si="12"/>
        <v>256532</v>
      </c>
      <c r="K268" s="1628">
        <f t="shared" si="12"/>
        <v>26498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6" t="s">
        <v>294</v>
      </c>
      <c r="B3" s="231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916443</v>
      </c>
      <c r="D5" s="1572">
        <v>216863</v>
      </c>
      <c r="E5" s="1572">
        <v>2222</v>
      </c>
      <c r="F5" s="1572">
        <v>15986</v>
      </c>
      <c r="G5" s="1572">
        <v>0</v>
      </c>
      <c r="H5" s="1572">
        <v>0</v>
      </c>
      <c r="I5" s="1573">
        <v>0</v>
      </c>
      <c r="J5" s="1573">
        <v>0</v>
      </c>
      <c r="K5" s="1671">
        <f>SUM(C5:J5)</f>
        <v>1151514</v>
      </c>
      <c r="L5" s="1572">
        <v>1219365</v>
      </c>
    </row>
    <row r="6" spans="1:14" x14ac:dyDescent="0.2">
      <c r="A6" s="1273" t="s">
        <v>1416</v>
      </c>
      <c r="B6" s="503" t="s">
        <v>1414</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239666</v>
      </c>
      <c r="D8" s="1572">
        <v>72633</v>
      </c>
      <c r="E8" s="1572">
        <v>18177</v>
      </c>
      <c r="F8" s="1572">
        <v>7183</v>
      </c>
      <c r="G8" s="1572">
        <v>0</v>
      </c>
      <c r="H8" s="1572">
        <v>0</v>
      </c>
      <c r="I8" s="1573">
        <v>0</v>
      </c>
      <c r="J8" s="1573">
        <v>0</v>
      </c>
      <c r="K8" s="1671">
        <f t="shared" si="0"/>
        <v>337659</v>
      </c>
      <c r="L8" s="1572">
        <v>348525</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58270</v>
      </c>
      <c r="D10" s="1572">
        <v>11014</v>
      </c>
      <c r="E10" s="1572">
        <v>1247</v>
      </c>
      <c r="F10" s="1572">
        <v>15765</v>
      </c>
      <c r="G10" s="1572">
        <v>10000</v>
      </c>
      <c r="H10" s="1572">
        <v>0</v>
      </c>
      <c r="I10" s="1573">
        <v>0</v>
      </c>
      <c r="J10" s="1573">
        <v>0</v>
      </c>
      <c r="K10" s="1671">
        <f t="shared" si="0"/>
        <v>96296</v>
      </c>
      <c r="L10" s="1572">
        <v>81657</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40821</v>
      </c>
      <c r="D14" s="1572">
        <v>2189</v>
      </c>
      <c r="E14" s="1572">
        <v>11947</v>
      </c>
      <c r="F14" s="1572">
        <v>5199</v>
      </c>
      <c r="G14" s="1572">
        <v>0</v>
      </c>
      <c r="H14" s="1572">
        <v>3215</v>
      </c>
      <c r="I14" s="1573">
        <v>0</v>
      </c>
      <c r="J14" s="1573">
        <v>0</v>
      </c>
      <c r="K14" s="1671">
        <f t="shared" si="0"/>
        <v>63371</v>
      </c>
      <c r="L14" s="1572">
        <v>90256</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7154</v>
      </c>
      <c r="D17" s="1573">
        <v>297</v>
      </c>
      <c r="E17" s="1573">
        <v>0</v>
      </c>
      <c r="F17" s="1573">
        <v>0</v>
      </c>
      <c r="G17" s="1573">
        <v>0</v>
      </c>
      <c r="H17" s="1573">
        <v>0</v>
      </c>
      <c r="I17" s="1573">
        <v>0</v>
      </c>
      <c r="J17" s="1573">
        <v>0</v>
      </c>
      <c r="K17" s="1671">
        <f t="shared" si="0"/>
        <v>7451</v>
      </c>
      <c r="L17" s="1572">
        <v>3530</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80910</v>
      </c>
      <c r="I22" s="1672"/>
      <c r="J22" s="1581"/>
      <c r="K22" s="1671">
        <f t="shared" si="0"/>
        <v>80910</v>
      </c>
      <c r="L22" s="1576">
        <v>90615</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1262354</v>
      </c>
      <c r="D33" s="1673">
        <f t="shared" ref="D33:L33" si="1">SUM(D5:D32)</f>
        <v>302996</v>
      </c>
      <c r="E33" s="1673">
        <f t="shared" si="1"/>
        <v>33593</v>
      </c>
      <c r="F33" s="1673">
        <f t="shared" si="1"/>
        <v>44133</v>
      </c>
      <c r="G33" s="1673">
        <f t="shared" si="1"/>
        <v>10000</v>
      </c>
      <c r="H33" s="1673">
        <f t="shared" si="1"/>
        <v>84125</v>
      </c>
      <c r="I33" s="1673">
        <f t="shared" si="1"/>
        <v>0</v>
      </c>
      <c r="J33" s="1673">
        <f t="shared" si="1"/>
        <v>0</v>
      </c>
      <c r="K33" s="1673">
        <f t="shared" si="1"/>
        <v>1737201</v>
      </c>
      <c r="L33" s="1673">
        <f t="shared" si="1"/>
        <v>1833948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41685</v>
      </c>
      <c r="D36" s="1585">
        <v>11857</v>
      </c>
      <c r="E36" s="1585">
        <v>0</v>
      </c>
      <c r="F36" s="1585">
        <v>2956</v>
      </c>
      <c r="G36" s="1585">
        <v>0</v>
      </c>
      <c r="H36" s="1585">
        <v>0</v>
      </c>
      <c r="I36" s="1573">
        <v>0</v>
      </c>
      <c r="J36" s="1573">
        <v>0</v>
      </c>
      <c r="K36" s="1671">
        <f t="shared" ref="K36:K41" si="2">SUM(C36:J36)</f>
        <v>56498</v>
      </c>
      <c r="L36" s="1572">
        <v>59136</v>
      </c>
    </row>
    <row r="37" spans="1:14" x14ac:dyDescent="0.2">
      <c r="A37" s="1273" t="s">
        <v>1081</v>
      </c>
      <c r="B37" s="503">
        <v>2120</v>
      </c>
      <c r="C37" s="1572">
        <v>43068</v>
      </c>
      <c r="D37" s="1572">
        <v>5337</v>
      </c>
      <c r="E37" s="1572">
        <v>0</v>
      </c>
      <c r="F37" s="1572">
        <v>4000</v>
      </c>
      <c r="G37" s="1572">
        <v>0</v>
      </c>
      <c r="H37" s="1572">
        <v>0</v>
      </c>
      <c r="I37" s="1573">
        <v>0</v>
      </c>
      <c r="J37" s="1573">
        <v>0</v>
      </c>
      <c r="K37" s="1671">
        <f t="shared" si="2"/>
        <v>52405</v>
      </c>
      <c r="L37" s="1572">
        <v>57154</v>
      </c>
    </row>
    <row r="38" spans="1:14" x14ac:dyDescent="0.2">
      <c r="A38" s="1273" t="s">
        <v>196</v>
      </c>
      <c r="B38" s="503">
        <v>2130</v>
      </c>
      <c r="C38" s="1572">
        <v>0</v>
      </c>
      <c r="D38" s="1572">
        <v>0</v>
      </c>
      <c r="E38" s="1572">
        <v>0</v>
      </c>
      <c r="F38" s="1572">
        <v>0</v>
      </c>
      <c r="G38" s="1572">
        <v>0</v>
      </c>
      <c r="H38" s="1572">
        <v>0</v>
      </c>
      <c r="I38" s="1572">
        <v>0</v>
      </c>
      <c r="J38" s="1572">
        <v>0</v>
      </c>
      <c r="K38" s="1671">
        <f t="shared" si="2"/>
        <v>0</v>
      </c>
      <c r="L38" s="1572">
        <v>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1650</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84753</v>
      </c>
      <c r="D42" s="1673">
        <f t="shared" ref="D42:L42" si="3">SUM(D36:D41)</f>
        <v>17194</v>
      </c>
      <c r="E42" s="1673">
        <f t="shared" si="3"/>
        <v>0</v>
      </c>
      <c r="F42" s="1673">
        <f t="shared" si="3"/>
        <v>6956</v>
      </c>
      <c r="G42" s="1673">
        <f t="shared" si="3"/>
        <v>0</v>
      </c>
      <c r="H42" s="1673">
        <f t="shared" si="3"/>
        <v>0</v>
      </c>
      <c r="I42" s="1673">
        <f t="shared" si="3"/>
        <v>0</v>
      </c>
      <c r="J42" s="1673">
        <f t="shared" si="3"/>
        <v>0</v>
      </c>
      <c r="K42" s="1673">
        <f t="shared" si="3"/>
        <v>108903</v>
      </c>
      <c r="L42" s="1673">
        <f t="shared" si="3"/>
        <v>116290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73</v>
      </c>
      <c r="D44" s="1585">
        <v>0</v>
      </c>
      <c r="E44" s="1585">
        <v>0</v>
      </c>
      <c r="F44" s="1585">
        <v>0</v>
      </c>
      <c r="G44" s="1585">
        <v>0</v>
      </c>
      <c r="H44" s="1585">
        <v>0</v>
      </c>
      <c r="I44" s="1573">
        <v>0</v>
      </c>
      <c r="J44" s="1573">
        <v>0</v>
      </c>
      <c r="K44" s="1677">
        <f>SUM(C44:J44)</f>
        <v>73</v>
      </c>
      <c r="L44" s="1585">
        <v>0</v>
      </c>
    </row>
    <row r="45" spans="1:14" x14ac:dyDescent="0.2">
      <c r="A45" s="1273" t="s">
        <v>810</v>
      </c>
      <c r="B45" s="503">
        <v>2220</v>
      </c>
      <c r="C45" s="1572">
        <v>71814</v>
      </c>
      <c r="D45" s="1572">
        <v>18888</v>
      </c>
      <c r="E45" s="1572">
        <v>34129</v>
      </c>
      <c r="F45" s="1572">
        <v>28933</v>
      </c>
      <c r="G45" s="1572">
        <v>2688</v>
      </c>
      <c r="H45" s="1572">
        <v>0</v>
      </c>
      <c r="I45" s="1573">
        <v>0</v>
      </c>
      <c r="J45" s="1573">
        <v>0</v>
      </c>
      <c r="K45" s="1677">
        <f>SUM(C45:J45)</f>
        <v>156452</v>
      </c>
      <c r="L45" s="1572">
        <v>169158</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71887</v>
      </c>
      <c r="D47" s="1673">
        <f t="shared" ref="D47:K47" si="4">SUM(D44:D46)</f>
        <v>18888</v>
      </c>
      <c r="E47" s="1673">
        <f t="shared" si="4"/>
        <v>34129</v>
      </c>
      <c r="F47" s="1673">
        <f t="shared" si="4"/>
        <v>28933</v>
      </c>
      <c r="G47" s="1673">
        <f t="shared" si="4"/>
        <v>2688</v>
      </c>
      <c r="H47" s="1673">
        <f t="shared" si="4"/>
        <v>0</v>
      </c>
      <c r="I47" s="1673">
        <f t="shared" si="4"/>
        <v>0</v>
      </c>
      <c r="J47" s="1673">
        <f t="shared" si="4"/>
        <v>0</v>
      </c>
      <c r="K47" s="1673">
        <f t="shared" si="4"/>
        <v>156525</v>
      </c>
      <c r="L47" s="1673">
        <f>SUM(L44:L46)</f>
        <v>169158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1548</v>
      </c>
      <c r="D49" s="1585">
        <v>0</v>
      </c>
      <c r="E49" s="1585">
        <v>28357</v>
      </c>
      <c r="F49" s="1585">
        <v>2850</v>
      </c>
      <c r="G49" s="1585">
        <v>0</v>
      </c>
      <c r="H49" s="1585">
        <v>2732</v>
      </c>
      <c r="I49" s="1573">
        <v>0</v>
      </c>
      <c r="J49" s="1573">
        <v>0</v>
      </c>
      <c r="K49" s="1677">
        <f>SUM(C49:J49)</f>
        <v>35487</v>
      </c>
      <c r="L49" s="1585">
        <v>37945</v>
      </c>
    </row>
    <row r="50" spans="1:14" x14ac:dyDescent="0.2">
      <c r="A50" s="1273" t="s">
        <v>813</v>
      </c>
      <c r="B50" s="503">
        <v>2320</v>
      </c>
      <c r="C50" s="1573">
        <v>57947</v>
      </c>
      <c r="D50" s="1572">
        <v>18848</v>
      </c>
      <c r="E50" s="1572">
        <v>5520</v>
      </c>
      <c r="F50" s="1572">
        <v>97</v>
      </c>
      <c r="G50" s="1572">
        <v>0</v>
      </c>
      <c r="H50" s="1572">
        <v>612</v>
      </c>
      <c r="I50" s="1573">
        <v>0</v>
      </c>
      <c r="J50" s="1573">
        <v>0</v>
      </c>
      <c r="K50" s="1677">
        <f>SUM(C50:J50)</f>
        <v>83024</v>
      </c>
      <c r="L50" s="1572">
        <v>82945</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59495</v>
      </c>
      <c r="D53" s="1673">
        <f t="shared" ref="D53:L53" si="5">SUM(D49:D52)</f>
        <v>18848</v>
      </c>
      <c r="E53" s="1673">
        <f t="shared" si="5"/>
        <v>33877</v>
      </c>
      <c r="F53" s="1673">
        <f t="shared" si="5"/>
        <v>2947</v>
      </c>
      <c r="G53" s="1673">
        <f t="shared" si="5"/>
        <v>0</v>
      </c>
      <c r="H53" s="1673">
        <f t="shared" si="5"/>
        <v>3344</v>
      </c>
      <c r="I53" s="1673">
        <f t="shared" si="5"/>
        <v>0</v>
      </c>
      <c r="J53" s="1673">
        <f t="shared" si="5"/>
        <v>0</v>
      </c>
      <c r="K53" s="1673">
        <f t="shared" si="5"/>
        <v>118511</v>
      </c>
      <c r="L53" s="1673">
        <f t="shared" si="5"/>
        <v>120890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119565</v>
      </c>
      <c r="D55" s="1585">
        <v>32907</v>
      </c>
      <c r="E55" s="1585">
        <v>2231</v>
      </c>
      <c r="F55" s="1585">
        <v>18052</v>
      </c>
      <c r="G55" s="1585">
        <v>0</v>
      </c>
      <c r="H55" s="1585">
        <v>395</v>
      </c>
      <c r="I55" s="1573">
        <v>0</v>
      </c>
      <c r="J55" s="1573">
        <v>0</v>
      </c>
      <c r="K55" s="1677">
        <f>SUM(C55:J55)</f>
        <v>173150</v>
      </c>
      <c r="L55" s="1585">
        <v>179074</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119565</v>
      </c>
      <c r="D57" s="1678">
        <f t="shared" ref="D57:K57" si="6">SUM(D55:D56)</f>
        <v>32907</v>
      </c>
      <c r="E57" s="1678">
        <f t="shared" si="6"/>
        <v>2231</v>
      </c>
      <c r="F57" s="1678">
        <f t="shared" si="6"/>
        <v>18052</v>
      </c>
      <c r="G57" s="1678">
        <f t="shared" si="6"/>
        <v>0</v>
      </c>
      <c r="H57" s="1678">
        <f t="shared" si="6"/>
        <v>395</v>
      </c>
      <c r="I57" s="1678">
        <f t="shared" si="6"/>
        <v>0</v>
      </c>
      <c r="J57" s="1678">
        <f t="shared" si="6"/>
        <v>0</v>
      </c>
      <c r="K57" s="1678">
        <f t="shared" si="6"/>
        <v>173150</v>
      </c>
      <c r="L57" s="1673">
        <f>SUM(L55:L56)</f>
        <v>179074</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48204</v>
      </c>
      <c r="D60" s="1572">
        <v>6591</v>
      </c>
      <c r="E60" s="1572">
        <v>9070</v>
      </c>
      <c r="F60" s="1572">
        <v>1311</v>
      </c>
      <c r="G60" s="1572">
        <v>0</v>
      </c>
      <c r="H60" s="1572">
        <v>183</v>
      </c>
      <c r="I60" s="1573">
        <v>0</v>
      </c>
      <c r="J60" s="1573">
        <v>0</v>
      </c>
      <c r="K60" s="1677">
        <f t="shared" si="7"/>
        <v>65359</v>
      </c>
      <c r="L60" s="1572">
        <v>64094</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42710</v>
      </c>
      <c r="D63" s="1572">
        <v>14253</v>
      </c>
      <c r="E63" s="1572">
        <v>53</v>
      </c>
      <c r="F63" s="1572">
        <v>55768</v>
      </c>
      <c r="G63" s="1572">
        <v>0</v>
      </c>
      <c r="H63" s="1572">
        <v>240</v>
      </c>
      <c r="I63" s="1573">
        <v>0</v>
      </c>
      <c r="J63" s="1573">
        <v>0</v>
      </c>
      <c r="K63" s="1677">
        <f t="shared" si="7"/>
        <v>113024</v>
      </c>
      <c r="L63" s="1572">
        <v>99280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90914</v>
      </c>
      <c r="D65" s="1673">
        <f t="shared" ref="D65:L65" si="8">SUM(D59:D64)</f>
        <v>20844</v>
      </c>
      <c r="E65" s="1673">
        <f t="shared" si="8"/>
        <v>9123</v>
      </c>
      <c r="F65" s="1673">
        <f t="shared" si="8"/>
        <v>57079</v>
      </c>
      <c r="G65" s="1673">
        <f t="shared" si="8"/>
        <v>0</v>
      </c>
      <c r="H65" s="1673">
        <f t="shared" si="8"/>
        <v>423</v>
      </c>
      <c r="I65" s="1673">
        <f t="shared" si="8"/>
        <v>0</v>
      </c>
      <c r="J65" s="1673">
        <f t="shared" si="8"/>
        <v>0</v>
      </c>
      <c r="K65" s="1673">
        <f t="shared" si="8"/>
        <v>178383</v>
      </c>
      <c r="L65" s="1673">
        <f t="shared" si="8"/>
        <v>163374</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79" t="s">
        <v>806</v>
      </c>
      <c r="B74" s="1383">
        <v>2000</v>
      </c>
      <c r="C74" s="1680">
        <f>SUM(C42,C47,C53,C57,C65,C72,C73)</f>
        <v>426614</v>
      </c>
      <c r="D74" s="1680">
        <f t="shared" ref="D74:K74" si="10">SUM(D42,D47,D53,D57,D65,D72,D73)</f>
        <v>108681</v>
      </c>
      <c r="E74" s="1680">
        <f t="shared" si="10"/>
        <v>79360</v>
      </c>
      <c r="F74" s="1680">
        <f t="shared" si="10"/>
        <v>113967</v>
      </c>
      <c r="G74" s="1680">
        <f t="shared" si="10"/>
        <v>2688</v>
      </c>
      <c r="H74" s="1680">
        <f t="shared" si="10"/>
        <v>4162</v>
      </c>
      <c r="I74" s="1680">
        <f t="shared" si="10"/>
        <v>0</v>
      </c>
      <c r="J74" s="1680">
        <f t="shared" si="10"/>
        <v>0</v>
      </c>
      <c r="K74" s="1680">
        <f t="shared" si="10"/>
        <v>735472</v>
      </c>
      <c r="L74" s="1680">
        <f>SUM(L42,L47,L53,L57,L65,L72,L73)</f>
        <v>748786</v>
      </c>
    </row>
    <row r="75" spans="1:14" s="254" customFormat="1" ht="15.75" customHeight="1" thickTop="1" thickBot="1" x14ac:dyDescent="0.25">
      <c r="A75" s="1347" t="s">
        <v>47</v>
      </c>
      <c r="B75" s="1348" t="s">
        <v>571</v>
      </c>
      <c r="C75" s="1648">
        <v>0</v>
      </c>
      <c r="D75" s="1648">
        <v>0</v>
      </c>
      <c r="E75" s="1648">
        <v>0</v>
      </c>
      <c r="F75" s="1648">
        <v>0</v>
      </c>
      <c r="G75" s="1648">
        <v>0</v>
      </c>
      <c r="H75" s="1648">
        <v>0</v>
      </c>
      <c r="I75" s="1626">
        <v>0</v>
      </c>
      <c r="J75" s="1626">
        <v>0</v>
      </c>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40179</v>
      </c>
      <c r="F78" s="1672"/>
      <c r="G78" s="1672"/>
      <c r="H78" s="1681">
        <v>2100</v>
      </c>
      <c r="I78" s="1581"/>
      <c r="J78" s="1581"/>
      <c r="K78" s="1671">
        <f t="shared" ref="K78:K83" si="11">SUM(C78:J78)</f>
        <v>42279</v>
      </c>
      <c r="L78" s="1585">
        <v>35400</v>
      </c>
    </row>
    <row r="79" spans="1:14" x14ac:dyDescent="0.2">
      <c r="A79" s="1273" t="s">
        <v>301</v>
      </c>
      <c r="B79" s="503">
        <v>4120</v>
      </c>
      <c r="C79" s="1672"/>
      <c r="D79" s="1672"/>
      <c r="E79" s="1572">
        <v>102605</v>
      </c>
      <c r="F79" s="1672"/>
      <c r="G79" s="1672"/>
      <c r="H79" s="1572">
        <v>0</v>
      </c>
      <c r="I79" s="1581"/>
      <c r="J79" s="1581"/>
      <c r="K79" s="1671">
        <f t="shared" si="11"/>
        <v>102605</v>
      </c>
      <c r="L79" s="1572">
        <v>171908</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56000</v>
      </c>
    </row>
    <row r="82" spans="1:12" x14ac:dyDescent="0.2">
      <c r="A82" s="1273" t="s">
        <v>86</v>
      </c>
      <c r="B82" s="503">
        <v>4170</v>
      </c>
      <c r="C82" s="1672"/>
      <c r="D82" s="1672"/>
      <c r="E82" s="1572">
        <v>0</v>
      </c>
      <c r="F82" s="1672"/>
      <c r="G82" s="1672"/>
      <c r="H82" s="1572">
        <v>0</v>
      </c>
      <c r="I82" s="1581"/>
      <c r="J82" s="1581"/>
      <c r="K82" s="1671">
        <f t="shared" si="11"/>
        <v>0</v>
      </c>
      <c r="L82" s="1572">
        <v>3000</v>
      </c>
    </row>
    <row r="83" spans="1:12" x14ac:dyDescent="0.2">
      <c r="A83" s="1277" t="s">
        <v>693</v>
      </c>
      <c r="B83" s="512">
        <v>4190</v>
      </c>
      <c r="C83" s="1672"/>
      <c r="D83" s="1672"/>
      <c r="E83" s="1572">
        <v>0</v>
      </c>
      <c r="F83" s="1672"/>
      <c r="G83" s="1672"/>
      <c r="H83" s="1572">
        <v>0</v>
      </c>
      <c r="I83" s="1581"/>
      <c r="J83" s="1581"/>
      <c r="K83" s="1671">
        <f t="shared" si="11"/>
        <v>0</v>
      </c>
      <c r="L83" s="1572">
        <v>30000</v>
      </c>
    </row>
    <row r="84" spans="1:12" ht="13.5" thickBot="1" x14ac:dyDescent="0.25">
      <c r="A84" s="1379" t="s">
        <v>1468</v>
      </c>
      <c r="B84" s="1384">
        <v>4100</v>
      </c>
      <c r="C84" s="1672"/>
      <c r="D84" s="1672"/>
      <c r="E84" s="1673">
        <f>SUM(E78:E83)</f>
        <v>142784</v>
      </c>
      <c r="F84" s="1672"/>
      <c r="G84" s="1672"/>
      <c r="H84" s="1673">
        <f>SUM(H78:H83)</f>
        <v>2100</v>
      </c>
      <c r="I84" s="1581"/>
      <c r="J84" s="1581"/>
      <c r="K84" s="1673">
        <f>SUM(K78:K83)</f>
        <v>144884</v>
      </c>
      <c r="L84" s="1673">
        <f>SUM(L78:L83)</f>
        <v>296308</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66863</v>
      </c>
      <c r="I86" s="1581"/>
      <c r="J86" s="1581"/>
      <c r="K86" s="1680">
        <f t="shared" ref="K86:K98" si="12">H86</f>
        <v>66863</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42462</v>
      </c>
      <c r="I88" s="1581"/>
      <c r="J88" s="1581"/>
      <c r="K88" s="1680">
        <f t="shared" si="12"/>
        <v>42462</v>
      </c>
      <c r="L88" s="1625">
        <v>0</v>
      </c>
    </row>
    <row r="89" spans="1:12" ht="12.75" customHeight="1" thickTop="1" thickBot="1" x14ac:dyDescent="0.25">
      <c r="A89" s="1282" t="s">
        <v>696</v>
      </c>
      <c r="B89" s="519">
        <v>4270</v>
      </c>
      <c r="C89" s="1672"/>
      <c r="D89" s="1672"/>
      <c r="E89" s="1683"/>
      <c r="F89" s="1672"/>
      <c r="G89" s="1672"/>
      <c r="H89" s="1573">
        <v>7020</v>
      </c>
      <c r="I89" s="1581"/>
      <c r="J89" s="1581"/>
      <c r="K89" s="1680">
        <f t="shared" si="12"/>
        <v>7020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116345</v>
      </c>
      <c r="I92" s="1581"/>
      <c r="J92" s="1581"/>
      <c r="K92" s="1680">
        <f t="shared" si="12"/>
        <v>116345</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142784</v>
      </c>
      <c r="F102" s="1672"/>
      <c r="G102" s="1672"/>
      <c r="H102" s="1680">
        <f>SUM(H84,H92,H100,H101)</f>
        <v>118445</v>
      </c>
      <c r="I102" s="1581"/>
      <c r="J102" s="1581"/>
      <c r="K102" s="1680">
        <f>SUM(K84,K92,K100,K101)</f>
        <v>261229</v>
      </c>
      <c r="L102" s="1680">
        <f>SUM(L84,L92,L100,L101)</f>
        <v>296308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1688968</v>
      </c>
      <c r="D114" s="1673">
        <f t="shared" ref="D114:K114" si="13">SUM(D33,D74,D75,D102,D112,D113)</f>
        <v>411677</v>
      </c>
      <c r="E114" s="1673">
        <f t="shared" si="13"/>
        <v>255737</v>
      </c>
      <c r="F114" s="1673">
        <f t="shared" si="13"/>
        <v>158100</v>
      </c>
      <c r="G114" s="1673">
        <f t="shared" si="13"/>
        <v>12688</v>
      </c>
      <c r="H114" s="1673">
        <f>SUM(H33,H74,H75,H102,H112,H113)</f>
        <v>206732</v>
      </c>
      <c r="I114" s="1673">
        <f t="shared" si="13"/>
        <v>0</v>
      </c>
      <c r="J114" s="1673">
        <f t="shared" si="13"/>
        <v>0</v>
      </c>
      <c r="K114" s="1673">
        <f t="shared" si="13"/>
        <v>2733902</v>
      </c>
      <c r="L114" s="1673">
        <f>SUM(L33,L74,L75,L102,L112,L113)</f>
        <v>2879042</v>
      </c>
    </row>
    <row r="115" spans="1:14" ht="13.5" thickTop="1" x14ac:dyDescent="0.2">
      <c r="A115" s="2308" t="s">
        <v>989</v>
      </c>
      <c r="B115" s="2309"/>
      <c r="C115" s="1674"/>
      <c r="D115" s="1674"/>
      <c r="E115" s="1674"/>
      <c r="F115" s="1674"/>
      <c r="G115" s="1674"/>
      <c r="H115" s="1674"/>
      <c r="I115" s="1674"/>
      <c r="J115" s="1674"/>
      <c r="K115" s="1688">
        <f>'Revenues 9-14'!C268-'Expenditures 15-22'!K114</f>
        <v>285840</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313" t="s">
        <v>293</v>
      </c>
      <c r="B117" s="231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132911</v>
      </c>
      <c r="D124" s="1572">
        <v>13897</v>
      </c>
      <c r="E124" s="1572">
        <v>59347</v>
      </c>
      <c r="F124" s="1572">
        <v>71372</v>
      </c>
      <c r="G124" s="1572">
        <v>4731</v>
      </c>
      <c r="H124" s="1572">
        <v>0</v>
      </c>
      <c r="I124" s="1573">
        <v>0</v>
      </c>
      <c r="J124" s="1573">
        <v>0</v>
      </c>
      <c r="K124" s="1673">
        <f>SUM(C124:J124)</f>
        <v>282258</v>
      </c>
      <c r="L124" s="1572">
        <v>280185</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132911</v>
      </c>
      <c r="D127" s="1673">
        <f t="shared" ref="D127:L127" si="14">SUM(D122:D126)</f>
        <v>13897</v>
      </c>
      <c r="E127" s="1673">
        <f t="shared" si="14"/>
        <v>59347</v>
      </c>
      <c r="F127" s="1673">
        <f t="shared" si="14"/>
        <v>71372</v>
      </c>
      <c r="G127" s="1673">
        <f t="shared" si="14"/>
        <v>4731</v>
      </c>
      <c r="H127" s="1673">
        <f t="shared" si="14"/>
        <v>0</v>
      </c>
      <c r="I127" s="1673">
        <f t="shared" si="14"/>
        <v>0</v>
      </c>
      <c r="J127" s="1673">
        <f t="shared" si="14"/>
        <v>0</v>
      </c>
      <c r="K127" s="1673">
        <f t="shared" si="14"/>
        <v>282258</v>
      </c>
      <c r="L127" s="1673">
        <f t="shared" si="14"/>
        <v>280185</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132911</v>
      </c>
      <c r="D129" s="1680">
        <f t="shared" ref="D129:L129" si="15">SUM(D120,D127,D128)</f>
        <v>13897</v>
      </c>
      <c r="E129" s="1680">
        <f t="shared" si="15"/>
        <v>59347</v>
      </c>
      <c r="F129" s="1680">
        <f t="shared" si="15"/>
        <v>71372</v>
      </c>
      <c r="G129" s="1680">
        <f t="shared" si="15"/>
        <v>4731</v>
      </c>
      <c r="H129" s="1680">
        <f t="shared" si="15"/>
        <v>0</v>
      </c>
      <c r="I129" s="1680">
        <f t="shared" si="15"/>
        <v>0</v>
      </c>
      <c r="J129" s="1680">
        <f t="shared" si="15"/>
        <v>0</v>
      </c>
      <c r="K129" s="1680">
        <f t="shared" si="15"/>
        <v>282258</v>
      </c>
      <c r="L129" s="1680">
        <f t="shared" si="15"/>
        <v>280185</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325" t="s">
        <v>616</v>
      </c>
      <c r="B151" s="2305"/>
      <c r="C151" s="1673">
        <f>SUM(C129,C130,C139,C149,C150)</f>
        <v>132911</v>
      </c>
      <c r="D151" s="1673">
        <f t="shared" ref="D151:K151" si="16">SUM(D129,D130,D139,D149,D150)</f>
        <v>13897</v>
      </c>
      <c r="E151" s="1673">
        <f t="shared" si="16"/>
        <v>59347</v>
      </c>
      <c r="F151" s="1673">
        <f t="shared" si="16"/>
        <v>71372</v>
      </c>
      <c r="G151" s="1673">
        <f t="shared" si="16"/>
        <v>4731</v>
      </c>
      <c r="H151" s="1673">
        <f t="shared" si="16"/>
        <v>0</v>
      </c>
      <c r="I151" s="1673">
        <f t="shared" si="16"/>
        <v>0</v>
      </c>
      <c r="J151" s="1673">
        <f t="shared" si="16"/>
        <v>0</v>
      </c>
      <c r="K151" s="1673">
        <f t="shared" si="16"/>
        <v>282258</v>
      </c>
      <c r="L151" s="1673">
        <f>SUM(L129,L130,L139,L149,L150)</f>
        <v>280185</v>
      </c>
    </row>
    <row r="152" spans="1:14" ht="12.75" customHeight="1" thickTop="1" x14ac:dyDescent="0.2">
      <c r="A152" s="2328" t="s">
        <v>1168</v>
      </c>
      <c r="B152" s="2329"/>
      <c r="C152" s="1674"/>
      <c r="D152" s="1674"/>
      <c r="E152" s="1674"/>
      <c r="F152" s="1674"/>
      <c r="G152" s="1674"/>
      <c r="H152" s="1674"/>
      <c r="I152" s="1674"/>
      <c r="J152" s="1672"/>
      <c r="K152" s="1688">
        <f>'Revenues 9-14'!D268-'Expenditures 15-22'!K151</f>
        <v>9928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313" t="s">
        <v>617</v>
      </c>
      <c r="B154" s="231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1818</v>
      </c>
      <c r="C158" s="1672"/>
      <c r="D158" s="1672"/>
      <c r="E158" s="1672"/>
      <c r="F158" s="1672"/>
      <c r="G158" s="1672"/>
      <c r="H158" s="1573">
        <v>0</v>
      </c>
      <c r="I158" s="1672"/>
      <c r="J158" s="1672"/>
      <c r="K158" s="1671">
        <f>H158</f>
        <v>0</v>
      </c>
      <c r="L158" s="1573">
        <v>0</v>
      </c>
      <c r="M158" s="505"/>
      <c r="N158" s="505"/>
    </row>
    <row r="159" spans="1:14" s="506" customFormat="1" ht="12" x14ac:dyDescent="0.2">
      <c r="A159" s="1461" t="s">
        <v>1819</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3">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41365</v>
      </c>
      <c r="I169" s="1672"/>
      <c r="J169" s="1672"/>
      <c r="K169" s="1671">
        <f>SUM(C169:H169)</f>
        <v>41365</v>
      </c>
      <c r="L169" s="1694">
        <v>41365</v>
      </c>
    </row>
    <row r="170" spans="1:14" ht="33.75" customHeight="1" x14ac:dyDescent="0.2">
      <c r="A170" s="543" t="s">
        <v>1651</v>
      </c>
      <c r="B170" s="545" t="s">
        <v>31</v>
      </c>
      <c r="C170" s="1672"/>
      <c r="D170" s="1672"/>
      <c r="E170" s="1672"/>
      <c r="F170" s="1672"/>
      <c r="G170" s="1672"/>
      <c r="H170" s="1645">
        <v>185000</v>
      </c>
      <c r="I170" s="1672"/>
      <c r="J170" s="1672"/>
      <c r="K170" s="1671">
        <f>SUM(C170:J170)</f>
        <v>185000</v>
      </c>
      <c r="L170" s="1645">
        <v>185000</v>
      </c>
    </row>
    <row r="171" spans="1:14" ht="15.75" customHeight="1" x14ac:dyDescent="0.2">
      <c r="A171" s="507" t="s">
        <v>761</v>
      </c>
      <c r="B171" s="546" t="s">
        <v>84</v>
      </c>
      <c r="C171" s="1672"/>
      <c r="D171" s="1672"/>
      <c r="E171" s="1572">
        <v>0</v>
      </c>
      <c r="F171" s="1672"/>
      <c r="G171" s="1672"/>
      <c r="H171" s="1645">
        <v>450</v>
      </c>
      <c r="I171" s="1581"/>
      <c r="J171" s="1672"/>
      <c r="K171" s="1671">
        <f>SUM(C171:J171)</f>
        <v>450</v>
      </c>
      <c r="L171" s="1645">
        <v>400</v>
      </c>
    </row>
    <row r="172" spans="1:14" ht="12.75" customHeight="1" thickBot="1" x14ac:dyDescent="0.25">
      <c r="A172" s="1379" t="s">
        <v>633</v>
      </c>
      <c r="B172" s="1380" t="s">
        <v>489</v>
      </c>
      <c r="C172" s="1672"/>
      <c r="D172" s="1672"/>
      <c r="E172" s="1680">
        <f>SUM(E168,E169,E170,E171)</f>
        <v>0</v>
      </c>
      <c r="F172" s="1672"/>
      <c r="G172" s="1672"/>
      <c r="H172" s="1680">
        <f>SUM(H168,H169,H170,H171)</f>
        <v>226815</v>
      </c>
      <c r="I172" s="1683"/>
      <c r="J172" s="1672"/>
      <c r="K172" s="1680">
        <f>SUM(K168,K169,K170,K171)</f>
        <v>226815</v>
      </c>
      <c r="L172" s="1680">
        <f>SUM(L168,L169,L170,L171)</f>
        <v>226765</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226815</v>
      </c>
      <c r="I174" s="1683"/>
      <c r="J174" s="1672"/>
      <c r="K174" s="1680">
        <f>SUM(K160,K172,K173)</f>
        <v>226815</v>
      </c>
      <c r="L174" s="1680">
        <f>SUM(L160,L172,L173)</f>
        <v>226765</v>
      </c>
    </row>
    <row r="175" spans="1:14" ht="13.5" thickTop="1" x14ac:dyDescent="0.2">
      <c r="A175" s="2308" t="s">
        <v>989</v>
      </c>
      <c r="B175" s="2309"/>
      <c r="C175" s="1672"/>
      <c r="D175" s="1672"/>
      <c r="E175" s="1672"/>
      <c r="F175" s="1672"/>
      <c r="G175" s="1672"/>
      <c r="H175" s="1674"/>
      <c r="I175" s="1672"/>
      <c r="J175" s="1672"/>
      <c r="K175" s="1688">
        <f>'Revenues 9-14'!E268-'Expenditures 15-22'!K174</f>
        <v>2817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134319</v>
      </c>
      <c r="D182" s="1572">
        <v>13990</v>
      </c>
      <c r="E182" s="1572">
        <v>70570</v>
      </c>
      <c r="F182" s="1572">
        <v>21032</v>
      </c>
      <c r="G182" s="1572">
        <v>22120</v>
      </c>
      <c r="H182" s="1572">
        <v>0</v>
      </c>
      <c r="I182" s="1573">
        <v>0</v>
      </c>
      <c r="J182" s="1573">
        <v>0</v>
      </c>
      <c r="K182" s="1671">
        <f>SUM(C182:J182)</f>
        <v>262031</v>
      </c>
      <c r="L182" s="1572">
        <v>231476</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134319</v>
      </c>
      <c r="D184" s="1680">
        <f t="shared" ref="D184:J184" si="17">SUM(D180,D182,D183)</f>
        <v>13990</v>
      </c>
      <c r="E184" s="1680">
        <f t="shared" si="17"/>
        <v>70570</v>
      </c>
      <c r="F184" s="1680">
        <f t="shared" si="17"/>
        <v>21032</v>
      </c>
      <c r="G184" s="1680">
        <f t="shared" si="17"/>
        <v>22120</v>
      </c>
      <c r="H184" s="1680">
        <f t="shared" si="17"/>
        <v>0</v>
      </c>
      <c r="I184" s="1680">
        <f t="shared" si="17"/>
        <v>0</v>
      </c>
      <c r="J184" s="1680">
        <f t="shared" si="17"/>
        <v>0</v>
      </c>
      <c r="K184" s="1680">
        <f>SUM(K180,K182,K183)</f>
        <v>262031</v>
      </c>
      <c r="L184" s="1680">
        <f>SUM(L180, L182:L183)</f>
        <v>231476</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134319</v>
      </c>
      <c r="D210" s="1673">
        <f>SUM(D184,D185)</f>
        <v>13990</v>
      </c>
      <c r="E210" s="1673">
        <f>SUM(E184,E185,E196)</f>
        <v>70570</v>
      </c>
      <c r="F210" s="1673">
        <f>SUM(F184,F185)</f>
        <v>21032</v>
      </c>
      <c r="G210" s="1673">
        <f>SUM(G184,G185)</f>
        <v>22120</v>
      </c>
      <c r="H210" s="1673">
        <f>SUM(H184,H185,H196,H208,H209)</f>
        <v>0</v>
      </c>
      <c r="I210" s="1673">
        <f>SUM(I184,I185)</f>
        <v>0</v>
      </c>
      <c r="J210" s="1673">
        <f>SUM(J184,J185)</f>
        <v>0</v>
      </c>
      <c r="K210" s="1671">
        <f>SUM(K184,K185,K196,K208,K209)</f>
        <v>262031</v>
      </c>
      <c r="L210" s="1673">
        <f>SUM(L184,L185,L196,L208,L209)</f>
        <v>231476</v>
      </c>
    </row>
    <row r="211" spans="1:14" ht="13.5" thickTop="1" x14ac:dyDescent="0.2">
      <c r="A211" s="2308" t="s">
        <v>989</v>
      </c>
      <c r="B211" s="2309"/>
      <c r="C211" s="1674"/>
      <c r="D211" s="1674"/>
      <c r="E211" s="1674"/>
      <c r="F211" s="1674"/>
      <c r="G211" s="1674"/>
      <c r="H211" s="1674"/>
      <c r="I211" s="1672"/>
      <c r="J211" s="1672"/>
      <c r="K211" s="1688">
        <f>'Revenues 9-14'!F268-'Expenditures 15-22'!K210</f>
        <v>-7938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30" t="s">
        <v>959</v>
      </c>
      <c r="B213" s="233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18378</v>
      </c>
      <c r="E215" s="1672"/>
      <c r="F215" s="1672"/>
      <c r="G215" s="1672"/>
      <c r="H215" s="1672"/>
      <c r="I215" s="1672"/>
      <c r="J215" s="1672"/>
      <c r="K215" s="1671">
        <f>D215</f>
        <v>18378</v>
      </c>
      <c r="L215" s="1572">
        <v>14936</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5526</v>
      </c>
      <c r="E217" s="1672"/>
      <c r="F217" s="1672"/>
      <c r="G217" s="1672"/>
      <c r="H217" s="1672"/>
      <c r="I217" s="1672"/>
      <c r="J217" s="1672"/>
      <c r="K217" s="1671">
        <f t="shared" si="19"/>
        <v>5526</v>
      </c>
      <c r="L217" s="1572">
        <v>11590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12037</v>
      </c>
      <c r="E219" s="1672"/>
      <c r="F219" s="1672"/>
      <c r="G219" s="1672"/>
      <c r="H219" s="1672"/>
      <c r="I219" s="1672"/>
      <c r="J219" s="1672"/>
      <c r="K219" s="1671">
        <f t="shared" si="19"/>
        <v>12037</v>
      </c>
      <c r="L219" s="1572">
        <v>6093</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3093</v>
      </c>
      <c r="E223" s="1672"/>
      <c r="F223" s="1672"/>
      <c r="G223" s="1672"/>
      <c r="H223" s="1672"/>
      <c r="I223" s="1672"/>
      <c r="J223" s="1672"/>
      <c r="K223" s="1671">
        <f t="shared" si="19"/>
        <v>3093</v>
      </c>
      <c r="L223" s="1572">
        <v>3432</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39034</v>
      </c>
      <c r="E229" s="1672"/>
      <c r="F229" s="1672"/>
      <c r="G229" s="1672"/>
      <c r="H229" s="1672"/>
      <c r="I229" s="1672"/>
      <c r="J229" s="1672"/>
      <c r="K229" s="1673">
        <f>SUM(K215:K228)</f>
        <v>39034</v>
      </c>
      <c r="L229" s="1673">
        <f>SUM(L215:L228)</f>
        <v>36051</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496</v>
      </c>
      <c r="E232" s="1672"/>
      <c r="F232" s="1672"/>
      <c r="G232" s="1672"/>
      <c r="H232" s="1672"/>
      <c r="I232" s="1672"/>
      <c r="J232" s="1672"/>
      <c r="K232" s="1671">
        <f t="shared" ref="K232:K237" si="20">D232</f>
        <v>496</v>
      </c>
      <c r="L232" s="1572">
        <v>683</v>
      </c>
    </row>
    <row r="233" spans="1:12" x14ac:dyDescent="0.2">
      <c r="A233" s="1273" t="s">
        <v>1081</v>
      </c>
      <c r="B233" s="503">
        <v>2120</v>
      </c>
      <c r="C233" s="1672"/>
      <c r="D233" s="1572">
        <v>674</v>
      </c>
      <c r="E233" s="1672"/>
      <c r="F233" s="1672"/>
      <c r="G233" s="1672"/>
      <c r="H233" s="1672"/>
      <c r="I233" s="1672"/>
      <c r="J233" s="1672"/>
      <c r="K233" s="1671">
        <f t="shared" si="20"/>
        <v>674</v>
      </c>
      <c r="L233" s="1572">
        <v>654</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2600</v>
      </c>
    </row>
    <row r="238" spans="1:12" ht="12.75" customHeight="1" thickBot="1" x14ac:dyDescent="0.25">
      <c r="A238" s="1379" t="s">
        <v>556</v>
      </c>
      <c r="B238" s="1382" t="s">
        <v>711</v>
      </c>
      <c r="C238" s="1672"/>
      <c r="D238" s="1673">
        <f>SUM(D232:D237)</f>
        <v>1170</v>
      </c>
      <c r="E238" s="1672"/>
      <c r="F238" s="1672"/>
      <c r="G238" s="1672"/>
      <c r="H238" s="1672"/>
      <c r="I238" s="1672"/>
      <c r="J238" s="1672"/>
      <c r="K238" s="1673">
        <f>SUM(K232:K237)</f>
        <v>1170</v>
      </c>
      <c r="L238" s="1673">
        <f>SUM(L232:L237)</f>
        <v>3937</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8939</v>
      </c>
      <c r="E241" s="1672"/>
      <c r="F241" s="1672"/>
      <c r="G241" s="1672"/>
      <c r="H241" s="1672"/>
      <c r="I241" s="1672"/>
      <c r="J241" s="1672"/>
      <c r="K241" s="1677">
        <f>D241</f>
        <v>8939</v>
      </c>
      <c r="L241" s="1572">
        <v>8750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8939</v>
      </c>
      <c r="E243" s="1672"/>
      <c r="F243" s="1672"/>
      <c r="G243" s="1672"/>
      <c r="H243" s="1672"/>
      <c r="I243" s="1672"/>
      <c r="J243" s="1672"/>
      <c r="K243" s="1673">
        <f>SUM(K240:K242)</f>
        <v>8939</v>
      </c>
      <c r="L243" s="1673">
        <f>SUM(L240:L242)</f>
        <v>8750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117</v>
      </c>
      <c r="E245" s="1672"/>
      <c r="F245" s="1672"/>
      <c r="G245" s="1672"/>
      <c r="H245" s="1672"/>
      <c r="I245" s="1672"/>
      <c r="J245" s="1672"/>
      <c r="K245" s="1677">
        <f>D245</f>
        <v>117</v>
      </c>
      <c r="L245" s="1585">
        <v>110</v>
      </c>
    </row>
    <row r="246" spans="1:12" x14ac:dyDescent="0.2">
      <c r="A246" s="1273" t="s">
        <v>813</v>
      </c>
      <c r="B246" s="503">
        <v>2320</v>
      </c>
      <c r="C246" s="1672"/>
      <c r="D246" s="1572">
        <v>2229</v>
      </c>
      <c r="E246" s="1672"/>
      <c r="F246" s="1672"/>
      <c r="G246" s="1672"/>
      <c r="H246" s="1672"/>
      <c r="I246" s="1672"/>
      <c r="J246" s="1672"/>
      <c r="K246" s="1677">
        <f t="shared" ref="K246:K256" si="21">D246</f>
        <v>2229</v>
      </c>
      <c r="L246" s="1572">
        <v>2000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1782</v>
      </c>
      <c r="B249" s="557" t="s">
        <v>280</v>
      </c>
      <c r="C249" s="1672"/>
      <c r="D249" s="1578">
        <v>0</v>
      </c>
      <c r="E249" s="1672"/>
      <c r="F249" s="1672"/>
      <c r="G249" s="1672"/>
      <c r="H249" s="1672"/>
      <c r="I249" s="1672"/>
      <c r="J249" s="1672"/>
      <c r="K249" s="1677">
        <f t="shared" si="21"/>
        <v>0</v>
      </c>
      <c r="L249" s="1572">
        <v>0</v>
      </c>
    </row>
    <row r="250" spans="1:12" x14ac:dyDescent="0.2">
      <c r="A250" s="1274" t="s">
        <v>1783</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2346</v>
      </c>
      <c r="E257" s="1672"/>
      <c r="F257" s="1672"/>
      <c r="G257" s="1672"/>
      <c r="H257" s="1672"/>
      <c r="I257" s="1672"/>
      <c r="J257" s="1672"/>
      <c r="K257" s="1673">
        <f>SUM(K245:K256)</f>
        <v>2346</v>
      </c>
      <c r="L257" s="1673">
        <f>SUM(L245:L256)</f>
        <v>2110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20064</v>
      </c>
      <c r="E259" s="1672"/>
      <c r="F259" s="1672"/>
      <c r="G259" s="1672"/>
      <c r="H259" s="1672"/>
      <c r="I259" s="1672"/>
      <c r="J259" s="1672"/>
      <c r="K259" s="1677">
        <f>D259</f>
        <v>20064</v>
      </c>
      <c r="L259" s="1585">
        <v>11250</v>
      </c>
    </row>
    <row r="260" spans="1:14" s="493" customFormat="1" x14ac:dyDescent="0.2">
      <c r="A260" s="1291" t="s">
        <v>1781</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20064</v>
      </c>
      <c r="E261" s="1672"/>
      <c r="F261" s="1672"/>
      <c r="G261" s="1672"/>
      <c r="H261" s="1672"/>
      <c r="I261" s="1672"/>
      <c r="J261" s="1672"/>
      <c r="K261" s="1673">
        <f>SUM(K259:K260)</f>
        <v>20064</v>
      </c>
      <c r="L261" s="1673">
        <f>SUM(L259:L260)</f>
        <v>11250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7501</v>
      </c>
      <c r="E264" s="1672"/>
      <c r="F264" s="1672"/>
      <c r="G264" s="1672"/>
      <c r="H264" s="1672"/>
      <c r="I264" s="1672"/>
      <c r="J264" s="1672"/>
      <c r="K264" s="1677">
        <f t="shared" ref="K264:K269" si="22">D264</f>
        <v>7501</v>
      </c>
      <c r="L264" s="1572">
        <v>7275</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13170</v>
      </c>
      <c r="E266" s="1672"/>
      <c r="F266" s="1672"/>
      <c r="G266" s="1672"/>
      <c r="H266" s="1672"/>
      <c r="I266" s="1672"/>
      <c r="J266" s="1672"/>
      <c r="K266" s="1677">
        <f t="shared" si="22"/>
        <v>13170</v>
      </c>
      <c r="L266" s="1572">
        <v>13860</v>
      </c>
    </row>
    <row r="267" spans="1:14" x14ac:dyDescent="0.2">
      <c r="A267" s="1273" t="s">
        <v>947</v>
      </c>
      <c r="B267" s="503">
        <v>2550</v>
      </c>
      <c r="C267" s="1672"/>
      <c r="D267" s="1572">
        <v>13593</v>
      </c>
      <c r="E267" s="1672"/>
      <c r="F267" s="1672"/>
      <c r="G267" s="1672"/>
      <c r="H267" s="1672"/>
      <c r="I267" s="1672"/>
      <c r="J267" s="1672"/>
      <c r="K267" s="1677">
        <f t="shared" si="22"/>
        <v>13593</v>
      </c>
      <c r="L267" s="1572">
        <v>16750</v>
      </c>
    </row>
    <row r="268" spans="1:14" x14ac:dyDescent="0.2">
      <c r="A268" s="1273" t="s">
        <v>100</v>
      </c>
      <c r="B268" s="503">
        <v>2560</v>
      </c>
      <c r="C268" s="1672"/>
      <c r="D268" s="1572">
        <v>6535</v>
      </c>
      <c r="E268" s="1672"/>
      <c r="F268" s="1672"/>
      <c r="G268" s="1672"/>
      <c r="H268" s="1672"/>
      <c r="I268" s="1672"/>
      <c r="J268" s="1672"/>
      <c r="K268" s="1677">
        <f t="shared" si="22"/>
        <v>6535</v>
      </c>
      <c r="L268" s="1572">
        <v>6150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40799</v>
      </c>
      <c r="E270" s="1672"/>
      <c r="F270" s="1672"/>
      <c r="G270" s="1672"/>
      <c r="H270" s="1672"/>
      <c r="I270" s="1672"/>
      <c r="J270" s="1672"/>
      <c r="K270" s="1673">
        <f>SUM(K263:K269)</f>
        <v>40799</v>
      </c>
      <c r="L270" s="1673">
        <f>SUM(L263:L269)</f>
        <v>44035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73318</v>
      </c>
      <c r="E279" s="1672"/>
      <c r="F279" s="1672"/>
      <c r="G279" s="1672"/>
      <c r="H279" s="1672"/>
      <c r="I279" s="1672"/>
      <c r="J279" s="1672"/>
      <c r="K279" s="1680">
        <f>SUM(K238,K243,K257,K261,K270,K277,K278)</f>
        <v>73318</v>
      </c>
      <c r="L279" s="1680">
        <f>SUM(L238,L243,L257,L261,L270,L277,L278)</f>
        <v>70082</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326" t="s">
        <v>502</v>
      </c>
      <c r="B295" s="2327"/>
      <c r="C295" s="1672"/>
      <c r="D295" s="1673">
        <f>SUM(D229,D279,D280,D285)</f>
        <v>112352</v>
      </c>
      <c r="E295" s="1672"/>
      <c r="F295" s="1672"/>
      <c r="G295" s="1672"/>
      <c r="H295" s="1673">
        <f>H293</f>
        <v>0</v>
      </c>
      <c r="I295" s="1672"/>
      <c r="J295" s="1672"/>
      <c r="K295" s="1673">
        <f>SUM(K229,K279,K280,K285,K293,K294)</f>
        <v>112352</v>
      </c>
      <c r="L295" s="1673">
        <f>SUM(L229,L279,L280,L285,L293,L294)</f>
        <v>106133</v>
      </c>
    </row>
    <row r="296" spans="1:14" ht="13.5" thickTop="1" x14ac:dyDescent="0.2">
      <c r="A296" s="2308" t="s">
        <v>989</v>
      </c>
      <c r="B296" s="2309"/>
      <c r="C296" s="1672"/>
      <c r="D296" s="1674"/>
      <c r="E296" s="1672"/>
      <c r="F296" s="1672"/>
      <c r="G296" s="1672"/>
      <c r="H296" s="1706"/>
      <c r="I296" s="1672"/>
      <c r="J296" s="1672"/>
      <c r="K296" s="1688">
        <f>'Revenues 9-14'!G268-'Expenditures 15-22'!K295</f>
        <v>10146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18" t="s">
        <v>142</v>
      </c>
      <c r="B298" s="231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84510</v>
      </c>
      <c r="H301" s="1572">
        <v>0</v>
      </c>
      <c r="I301" s="1573">
        <v>0</v>
      </c>
      <c r="J301" s="1573">
        <v>0</v>
      </c>
      <c r="K301" s="1671">
        <f>SUM(C301:J301)</f>
        <v>84510</v>
      </c>
      <c r="L301" s="1573">
        <v>84550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84510</v>
      </c>
      <c r="H303" s="1680">
        <f t="shared" si="23"/>
        <v>0</v>
      </c>
      <c r="I303" s="1680">
        <f t="shared" si="23"/>
        <v>0</v>
      </c>
      <c r="J303" s="1680">
        <f t="shared" si="23"/>
        <v>0</v>
      </c>
      <c r="K303" s="1680">
        <f t="shared" si="23"/>
        <v>84510</v>
      </c>
      <c r="L303" s="1680">
        <f t="shared" si="23"/>
        <v>84550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323" t="s">
        <v>275</v>
      </c>
      <c r="B312" s="2324"/>
      <c r="C312" s="1673">
        <f>SUM(C303)</f>
        <v>0</v>
      </c>
      <c r="D312" s="1673">
        <f>SUM(D303)</f>
        <v>0</v>
      </c>
      <c r="E312" s="1673">
        <f>SUM(E303,E310)</f>
        <v>0</v>
      </c>
      <c r="F312" s="1673">
        <f>SUM(F303)</f>
        <v>0</v>
      </c>
      <c r="G312" s="1673">
        <f>SUM(G303)</f>
        <v>84510</v>
      </c>
      <c r="H312" s="1673">
        <f>SUM(H303,H310)</f>
        <v>0</v>
      </c>
      <c r="I312" s="1673">
        <f>SUM(I303)</f>
        <v>0</v>
      </c>
      <c r="J312" s="1673">
        <f>SUM(J303)</f>
        <v>0</v>
      </c>
      <c r="K312" s="1673">
        <f>SUM(K303,K310,K311)</f>
        <v>84510</v>
      </c>
      <c r="L312" s="1673">
        <f>SUM(L303,L310,L311)</f>
        <v>84550</v>
      </c>
      <c r="M312" s="539"/>
      <c r="N312" s="539"/>
    </row>
    <row r="313" spans="1:14" ht="13.5" thickTop="1" x14ac:dyDescent="0.2">
      <c r="A313" s="2319" t="s">
        <v>989</v>
      </c>
      <c r="B313" s="2320"/>
      <c r="C313" s="1676"/>
      <c r="D313" s="1676"/>
      <c r="E313" s="1676"/>
      <c r="F313" s="1676"/>
      <c r="G313" s="1676"/>
      <c r="H313" s="1676"/>
      <c r="I313" s="1676"/>
      <c r="J313" s="1676"/>
      <c r="K313" s="1695">
        <f>'Revenues 9-14'!H268-'Expenditures 15-22'!K312</f>
        <v>25490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32" t="s">
        <v>148</v>
      </c>
      <c r="B315" s="233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34" t="s">
        <v>892</v>
      </c>
      <c r="B317" s="233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1782</v>
      </c>
      <c r="B320" s="568" t="s">
        <v>280</v>
      </c>
      <c r="C320" s="1573">
        <v>0</v>
      </c>
      <c r="D320" s="1573">
        <v>0</v>
      </c>
      <c r="E320" s="1573">
        <v>1915</v>
      </c>
      <c r="F320" s="1573">
        <v>0</v>
      </c>
      <c r="G320" s="1573">
        <v>0</v>
      </c>
      <c r="H320" s="1573">
        <v>0</v>
      </c>
      <c r="I320" s="1573">
        <v>0</v>
      </c>
      <c r="J320" s="1573">
        <v>0</v>
      </c>
      <c r="K320" s="1671">
        <f t="shared" ref="K320:K327" si="24">SUM(C320:J320)</f>
        <v>1915</v>
      </c>
      <c r="L320" s="1573">
        <v>20000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52028</v>
      </c>
      <c r="F322" s="1573">
        <v>0</v>
      </c>
      <c r="G322" s="1573">
        <v>0</v>
      </c>
      <c r="H322" s="1573">
        <v>0</v>
      </c>
      <c r="I322" s="1573">
        <v>0</v>
      </c>
      <c r="J322" s="1573">
        <v>0</v>
      </c>
      <c r="K322" s="1671">
        <f t="shared" si="24"/>
        <v>52028</v>
      </c>
      <c r="L322" s="1573">
        <v>45000</v>
      </c>
      <c r="M322" s="539"/>
      <c r="N322" s="539"/>
    </row>
    <row r="323" spans="1:14" s="548" customFormat="1" x14ac:dyDescent="0.2">
      <c r="A323" s="1288" t="s">
        <v>697</v>
      </c>
      <c r="B323" s="567" t="s">
        <v>283</v>
      </c>
      <c r="C323" s="1573">
        <v>0</v>
      </c>
      <c r="D323" s="1573">
        <v>0</v>
      </c>
      <c r="E323" s="1573">
        <v>1940</v>
      </c>
      <c r="F323" s="1573">
        <v>0</v>
      </c>
      <c r="G323" s="1573">
        <v>0</v>
      </c>
      <c r="H323" s="1573">
        <v>0</v>
      </c>
      <c r="I323" s="1573">
        <v>0</v>
      </c>
      <c r="J323" s="1573">
        <v>0</v>
      </c>
      <c r="K323" s="1671">
        <f t="shared" si="24"/>
        <v>1940</v>
      </c>
      <c r="L323" s="1573">
        <v>3500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125275</v>
      </c>
      <c r="D325" s="1573">
        <v>0</v>
      </c>
      <c r="E325" s="1573">
        <v>0</v>
      </c>
      <c r="F325" s="1573">
        <v>0</v>
      </c>
      <c r="G325" s="1573">
        <v>13890</v>
      </c>
      <c r="H325" s="1573">
        <v>0</v>
      </c>
      <c r="I325" s="1573">
        <v>0</v>
      </c>
      <c r="J325" s="1573">
        <v>0</v>
      </c>
      <c r="K325" s="1671">
        <f t="shared" si="24"/>
        <v>139165</v>
      </c>
      <c r="L325" s="1573">
        <v>161388</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12731</v>
      </c>
      <c r="F327" s="1573">
        <v>0</v>
      </c>
      <c r="G327" s="1573">
        <v>0</v>
      </c>
      <c r="H327" s="1573">
        <v>0</v>
      </c>
      <c r="I327" s="1573">
        <v>0</v>
      </c>
      <c r="J327" s="1573">
        <v>0</v>
      </c>
      <c r="K327" s="1671">
        <f t="shared" si="24"/>
        <v>12731</v>
      </c>
      <c r="L327" s="1573">
        <v>10000</v>
      </c>
      <c r="M327" s="539"/>
      <c r="N327" s="539"/>
    </row>
    <row r="328" spans="1:14" s="548" customFormat="1" x14ac:dyDescent="0.2">
      <c r="A328" s="1289" t="s">
        <v>469</v>
      </c>
      <c r="B328" s="562" t="s">
        <v>1122</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125275</v>
      </c>
      <c r="D330" s="1673">
        <f t="shared" ref="D330:J330" si="25">SUM(D319:D329)</f>
        <v>0</v>
      </c>
      <c r="E330" s="1673">
        <f t="shared" si="25"/>
        <v>68614</v>
      </c>
      <c r="F330" s="1673">
        <f t="shared" si="25"/>
        <v>0</v>
      </c>
      <c r="G330" s="1673">
        <f t="shared" si="25"/>
        <v>13890</v>
      </c>
      <c r="H330" s="1673">
        <f t="shared" si="25"/>
        <v>0</v>
      </c>
      <c r="I330" s="1673">
        <f t="shared" si="25"/>
        <v>0</v>
      </c>
      <c r="J330" s="1673">
        <f t="shared" si="25"/>
        <v>0</v>
      </c>
      <c r="K330" s="1673">
        <f>SUM(K319:K329)</f>
        <v>207779</v>
      </c>
      <c r="L330" s="1673">
        <f>SUM(L319:L329)</f>
        <v>239888</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1818</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125275</v>
      </c>
      <c r="D342" s="1673">
        <f>SUM(D330)</f>
        <v>0</v>
      </c>
      <c r="E342" s="1673">
        <f>SUM(E330)</f>
        <v>68614</v>
      </c>
      <c r="F342" s="1673">
        <f>SUM(F330)</f>
        <v>0</v>
      </c>
      <c r="G342" s="1673">
        <f>SUM(G330)</f>
        <v>13890</v>
      </c>
      <c r="H342" s="1673">
        <f>SUM(H330,H334,H340)</f>
        <v>0</v>
      </c>
      <c r="I342" s="1673">
        <f>SUM(I330)</f>
        <v>0</v>
      </c>
      <c r="J342" s="1673">
        <f>SUM(J330)</f>
        <v>0</v>
      </c>
      <c r="K342" s="1673">
        <f>SUM(K330,K334,K340)</f>
        <v>207779</v>
      </c>
      <c r="L342" s="1680">
        <f>SUM(L330,L334,L340,L341)</f>
        <v>239888</v>
      </c>
    </row>
    <row r="343" spans="1:14" ht="12.75" customHeight="1" thickTop="1" x14ac:dyDescent="0.2">
      <c r="A343" s="2321" t="s">
        <v>989</v>
      </c>
      <c r="B343" s="2322"/>
      <c r="C343" s="1672"/>
      <c r="D343" s="1672"/>
      <c r="E343" s="1672"/>
      <c r="F343" s="1672"/>
      <c r="G343" s="1672"/>
      <c r="H343" s="1672"/>
      <c r="I343" s="1672"/>
      <c r="J343" s="1672"/>
      <c r="K343" s="1688">
        <f>'Revenues 9-14'!J268-'Expenditures 15-22'!K342</f>
        <v>48753</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311" t="s">
        <v>960</v>
      </c>
      <c r="B345" s="231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1697</v>
      </c>
      <c r="F348" s="1572">
        <v>0</v>
      </c>
      <c r="G348" s="1572">
        <v>0</v>
      </c>
      <c r="H348" s="1572">
        <v>0</v>
      </c>
      <c r="I348" s="1573">
        <v>0</v>
      </c>
      <c r="J348" s="1573">
        <v>0</v>
      </c>
      <c r="K348" s="1671">
        <f>SUM(C348:J348)</f>
        <v>1697</v>
      </c>
      <c r="L348" s="1572">
        <v>20000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1697</v>
      </c>
      <c r="F350" s="1673">
        <f t="shared" si="26"/>
        <v>0</v>
      </c>
      <c r="G350" s="1673">
        <f t="shared" si="26"/>
        <v>0</v>
      </c>
      <c r="H350" s="1673">
        <f t="shared" si="26"/>
        <v>0</v>
      </c>
      <c r="I350" s="1673">
        <f t="shared" si="26"/>
        <v>0</v>
      </c>
      <c r="J350" s="1673">
        <f t="shared" si="26"/>
        <v>0</v>
      </c>
      <c r="K350" s="1673">
        <f t="shared" si="26"/>
        <v>1697</v>
      </c>
      <c r="L350" s="1673">
        <f t="shared" si="26"/>
        <v>20000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1697</v>
      </c>
      <c r="F352" s="1673">
        <f t="shared" si="27"/>
        <v>0</v>
      </c>
      <c r="G352" s="1673">
        <f t="shared" si="27"/>
        <v>0</v>
      </c>
      <c r="H352" s="1673">
        <f t="shared" si="27"/>
        <v>0</v>
      </c>
      <c r="I352" s="1673">
        <f t="shared" si="27"/>
        <v>0</v>
      </c>
      <c r="J352" s="1673">
        <f t="shared" si="27"/>
        <v>0</v>
      </c>
      <c r="K352" s="1673">
        <f t="shared" si="27"/>
        <v>1697</v>
      </c>
      <c r="L352" s="1673">
        <f t="shared" si="27"/>
        <v>20000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v>0</v>
      </c>
      <c r="I354" s="1715"/>
      <c r="J354" s="1672"/>
      <c r="K354" s="1712">
        <f>H354</f>
        <v>0</v>
      </c>
      <c r="L354" s="1576">
        <v>0</v>
      </c>
    </row>
    <row r="355" spans="1:14" ht="12.75" customHeight="1" x14ac:dyDescent="0.2">
      <c r="A355" s="1282" t="s">
        <v>1825</v>
      </c>
      <c r="B355" s="562" t="s">
        <v>1818</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1697</v>
      </c>
      <c r="F367" s="1673">
        <f t="shared" si="28"/>
        <v>0</v>
      </c>
      <c r="G367" s="1673">
        <f t="shared" si="28"/>
        <v>0</v>
      </c>
      <c r="H367" s="1673">
        <f t="shared" si="28"/>
        <v>0</v>
      </c>
      <c r="I367" s="1673">
        <f t="shared" si="28"/>
        <v>0</v>
      </c>
      <c r="J367" s="1673">
        <f t="shared" si="28"/>
        <v>0</v>
      </c>
      <c r="K367" s="1673">
        <f t="shared" si="28"/>
        <v>1697</v>
      </c>
      <c r="L367" s="1673">
        <f t="shared" si="28"/>
        <v>20000</v>
      </c>
    </row>
    <row r="368" spans="1:14" ht="13.5" thickTop="1" x14ac:dyDescent="0.2">
      <c r="A368" s="2308" t="s">
        <v>989</v>
      </c>
      <c r="B368" s="2309"/>
      <c r="C368" s="1693"/>
      <c r="D368" s="1693"/>
      <c r="E368" s="1676"/>
      <c r="F368" s="1676"/>
      <c r="G368" s="1676"/>
      <c r="H368" s="1676"/>
      <c r="I368" s="1676"/>
      <c r="J368" s="1675"/>
      <c r="K368" s="1671">
        <f>'Revenues 9-14'!K268-'Expenditures 15-22'!K367</f>
        <v>24801</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4d435f69-8686-490b-bd6d-b153bf22ab50"/>
    <ds:schemaRef ds:uri="http://purl.org/dc/terms/"/>
    <ds:schemaRef ds:uri="http://purl.org/dc/elements/1.1/"/>
    <ds:schemaRef ds:uri="http://schemas.microsoft.com/office/infopath/2007/PartnerControls"/>
    <ds:schemaRef ds:uri="http://www.w3.org/XML/1998/namespace"/>
    <ds:schemaRef ds:uri="d21dc803-237d-4c68-8692-8d731fd29118"/>
    <ds:schemaRef ds:uri="http://schemas.microsoft.com/sharepoint/v3"/>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2020-10-05T18:08:00Z</cp:lastPrinted>
  <dcterms:created xsi:type="dcterms:W3CDTF">2003-10-29T19:06:34Z</dcterms:created>
  <dcterms:modified xsi:type="dcterms:W3CDTF">2020-10-16T20:09:03Z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