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A2BEBA1-FB05-4ADA-98B2-849ADB3BAD8A}" xr6:coauthVersionLast="36" xr6:coauthVersionMax="36" xr10:uidLastSave="{00000000-0000-0000-0000-000000000000}"/>
  <bookViews>
    <workbookView xWindow="0" yWindow="0" windowWidth="15360" windowHeight="83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6" r:id="rId29"/>
    <sheet name=" SEFA (3)" sheetId="187"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07" i="5" l="1"/>
  <c r="L27" i="187" l="1"/>
  <c r="L26" i="187"/>
  <c r="L25" i="187"/>
  <c r="L24" i="187"/>
  <c r="L23" i="187"/>
  <c r="L22" i="187"/>
  <c r="L21" i="187"/>
  <c r="L20" i="187"/>
  <c r="L19" i="187"/>
  <c r="L18" i="187"/>
  <c r="L17" i="187"/>
  <c r="L16" i="187"/>
  <c r="L15" i="187"/>
  <c r="L14" i="187"/>
  <c r="L13" i="187"/>
  <c r="L12" i="187"/>
  <c r="L11" i="187"/>
  <c r="I9" i="187"/>
  <c r="G9" i="187"/>
  <c r="F9" i="187"/>
  <c r="E9" i="187"/>
  <c r="J8" i="187"/>
  <c r="H8" i="187"/>
  <c r="L27" i="186"/>
  <c r="L26" i="186"/>
  <c r="L25" i="186"/>
  <c r="L24" i="186"/>
  <c r="L23" i="186"/>
  <c r="L22" i="186"/>
  <c r="L21" i="186"/>
  <c r="L20" i="186"/>
  <c r="L19" i="186"/>
  <c r="L18" i="186"/>
  <c r="L17" i="186"/>
  <c r="L16" i="186"/>
  <c r="L15" i="186"/>
  <c r="L14" i="186"/>
  <c r="L13" i="186"/>
  <c r="L12" i="186"/>
  <c r="L11" i="186"/>
  <c r="I9" i="186"/>
  <c r="G9" i="186"/>
  <c r="F9" i="186"/>
  <c r="E9" i="186"/>
  <c r="J8" i="186"/>
  <c r="H8" i="186"/>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2" i="179"/>
  <c r="B2" i="187"/>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B5752" i="106"/>
  <c r="D5752" i="106" s="1"/>
  <c r="B7180" i="106" l="1"/>
  <c r="D7180" i="106" s="1"/>
  <c r="E63" i="184"/>
  <c r="N63" i="184" s="1"/>
  <c r="B7162" i="106"/>
  <c r="D7162" i="106" s="1"/>
  <c r="E61" i="184"/>
  <c r="N61" i="184" s="1"/>
  <c r="B7126" i="106"/>
  <c r="D7126" i="106" s="1"/>
  <c r="E57" i="184"/>
  <c r="N57" i="184" s="1"/>
  <c r="H15" i="184"/>
  <c r="G33" i="108"/>
  <c r="E17" i="184"/>
  <c r="H17" i="184" s="1"/>
  <c r="H342" i="29"/>
  <c r="B7189" i="106"/>
  <c r="D7189" i="106" s="1"/>
  <c r="E64" i="184"/>
  <c r="N64" i="184" s="1"/>
  <c r="B7171" i="106"/>
  <c r="D7171" i="106" s="1"/>
  <c r="E62" i="184"/>
  <c r="N62" i="184" s="1"/>
  <c r="B7705" i="106"/>
  <c r="D7705" i="106" s="1"/>
  <c r="E67" i="184"/>
  <c r="N67" i="184" s="1"/>
  <c r="B7696" i="106"/>
  <c r="D7696" i="106" s="1"/>
  <c r="E66" i="184"/>
  <c r="N66" i="184" s="1"/>
  <c r="B7198" i="106"/>
  <c r="D7198" i="106" s="1"/>
  <c r="E65" i="184"/>
  <c r="N65" i="184" s="1"/>
  <c r="B7153" i="106"/>
  <c r="D7153" i="106" s="1"/>
  <c r="E60" i="184"/>
  <c r="N60" i="184" s="1"/>
  <c r="B7135" i="106"/>
  <c r="D7135" i="106" s="1"/>
  <c r="E58" i="184"/>
  <c r="G14" i="4"/>
  <c r="B2609" i="106" s="1"/>
  <c r="D2609" i="106" s="1"/>
  <c r="F72" i="34"/>
  <c r="F71" i="34"/>
  <c r="G35" i="108"/>
  <c r="D36" i="108"/>
  <c r="F36" i="108"/>
  <c r="D31" i="108"/>
  <c r="E16" i="184"/>
  <c r="H16" i="184" s="1"/>
  <c r="G30" i="108"/>
  <c r="H12"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5770" i="106" l="1"/>
  <c r="D5770" i="106" s="1"/>
  <c r="E19" i="184"/>
  <c r="H19" i="184"/>
  <c r="L20" i="184" s="1"/>
  <c r="E367" i="29"/>
  <c r="B3635" i="106"/>
  <c r="B7222" i="106"/>
  <c r="D7222" i="106" s="1"/>
  <c r="F76" i="34"/>
  <c r="B7887" i="106" s="1"/>
  <c r="D7887" i="106" s="1"/>
  <c r="B7220" i="106"/>
  <c r="D7220" i="106" s="1"/>
  <c r="F75" i="34"/>
  <c r="B7886" i="106" s="1"/>
  <c r="D7886" i="106" s="1"/>
  <c r="L16" i="11"/>
  <c r="B2061" i="106" s="1"/>
  <c r="D2061" i="106" s="1"/>
  <c r="B2031" i="106"/>
  <c r="D2031" i="106" s="1"/>
  <c r="K342" i="29"/>
  <c r="F13" i="34" s="1"/>
  <c r="N58" i="184"/>
  <c r="N68" i="184" s="1"/>
  <c r="E68" i="184"/>
  <c r="B1381" i="106"/>
  <c r="D1381" i="106" s="1"/>
  <c r="L114" i="29"/>
  <c r="F41" i="108"/>
  <c r="G43" i="108"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F77" i="34" l="1"/>
  <c r="B6227" i="106"/>
  <c r="D6227" i="106" s="1"/>
  <c r="J20"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<sst xmlns="http://schemas.openxmlformats.org/spreadsheetml/2006/main" count="5341" uniqueCount="2134">
  <si>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</si>
  <si>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</si>
  <si>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</si>
  <si>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</si>
  <si>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</si>
  <si>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</si>
  <si>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</si>
  <si>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</si>
  <si>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</si>
  <si>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</si>
  <si>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</si>
  <si>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</si>
  <si>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</si>
  <si>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</si>
  <si>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</si>
  <si>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</si>
  <si>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</si>
  <si>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</si>
  <si>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</si>
  <si>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</si>
  <si>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</si>
  <si>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</si>
  <si>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</si>
  <si>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</si>
  <si>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</si>
  <si>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</si>
  <si>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</si>
  <si>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</si>
  <si>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</si>
  <si>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</si>
  <si>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</si>
  <si>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</si>
  <si>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</si>
  <si>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</si>
  <si>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</si>
  <si>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</si>
  <si>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</si>
  <si>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</si>
  <si>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</si>
  <si>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</si>
  <si>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</si>
  <si>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</si>
  <si>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</si>
  <si>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</si>
  <si>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</si>
  <si>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</si>
  <si>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</si>
  <si>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</si>
  <si>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</si>
  <si>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</si>
  <si>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</si>
  <si>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</si>
  <si>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</si>
  <si>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</si>
  <si>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</si>
  <si>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</si>
  <si>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</si>
  <si>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</si>
  <si>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</si>
  <si>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</si>
  <si>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</si>
  <si>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</si>
  <si>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</si>
  <si>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</si>
  <si>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</si>
  <si>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</si>
  <si>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</si>
  <si>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</si>
  <si>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</si>
  <si>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</si>
  <si>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</si>
  <si>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</si>
  <si>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</si>
  <si>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</si>
  <si>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</si>
  <si>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</si>
  <si>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</si>
  <si>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</si>
  <si>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</si>
  <si>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</si>
  <si>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</si>
  <si>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</si>
  <si>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</si>
  <si>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</si>
  <si>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</si>
  <si>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</si>
  <si>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</si>
  <si>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</si>
  <si>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</si>
  <si>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</si>
  <si>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</si>
  <si>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</si>
  <si>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</si>
  <si>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</si>
  <si>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</si>
  <si>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</si>
  <si>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</si>
  <si>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</si>
  <si>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</si>
  <si>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</si>
  <si>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</si>
  <si>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</si>
  <si>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</si>
  <si>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</si>
  <si>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</si>
  <si>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</si>
  <si>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</si>
  <si>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</si>
  <si>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</si>
  <si>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</si>
  <si>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</si>
  <si>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</si>
  <si>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</si>
  <si>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</si>
  <si>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</si>
  <si>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</si>
  <si>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</si>
  <si>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</si>
  <si>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</si>
  <si>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</si>
  <si>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</si>
  <si>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</si>
  <si>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</si>
  <si>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</si>
  <si>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</si>
  <si>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</si>
  <si>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</si>
  <si>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</si>
  <si>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</si>
  <si>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</si>
  <si>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</si>
  <si>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</si>
  <si>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</si>
  <si>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</si>
  <si>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</si>
  <si>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</si>
  <si>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</si>
  <si>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</si>
  <si>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</si>
  <si>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</si>
  <si>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</si>
  <si>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</si>
  <si>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</si>
  <si>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</si>
  <si>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</si>
  <si>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</si>
  <si>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</si>
  <si>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</si>
  <si>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</si>
  <si>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</si>
  <si>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</si>
  <si>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</si>
  <si>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</si>
  <si>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</si>
  <si>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</si>
  <si>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</si>
  <si>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</si>
  <si>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</si>
  <si>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</si>
  <si>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</si>
  <si>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</si>
  <si>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</si>
  <si>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</si>
  <si>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</si>
  <si>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</si>
  <si>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</si>
  <si>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</si>
  <si>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</si>
  <si>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</si>
  <si>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</si>
  <si>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</si>
  <si>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</si>
  <si>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</si>
  <si>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</si>
  <si>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</si>
  <si>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</si>
  <si>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</si>
  <si>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</si>
  <si>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</si>
  <si>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</si>
  <si>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</si>
  <si>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</si>
  <si>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</si>
  <si>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</si>
  <si>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</si>
  <si>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</si>
  <si>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</si>
  <si>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</si>
  <si>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</si>
  <si>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</si>
  <si>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</si>
  <si>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</si>
  <si>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</si>
  <si>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</si>
  <si>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</si>
  <si>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</si>
  <si>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</si>
  <si>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</si>
  <si>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</si>
  <si>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</si>
  <si>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</si>
  <si>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</si>
  <si>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</si>
  <si>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</si>
  <si>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</si>
  <si>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</si>
  <si>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</si>
  <si>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</si>
  <si>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</si>
  <si>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</si>
  <si>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</si>
  <si>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</si>
  <si>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</si>
  <si>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</si>
  <si>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</si>
  <si>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</si>
  <si>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</si>
  <si>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</si>
  <si>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</si>
  <si>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</si>
  <si>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</si>
  <si>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</si>
  <si>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</si>
  <si>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</si>
  <si>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</si>
  <si>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</si>
  <si>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</si>
  <si>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</si>
  <si>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</si>
  <si>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</si>
  <si>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</si>
  <si>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</si>
  <si>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</si>
  <si>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</si>
  <si>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</si>
  <si>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</si>
  <si>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</si>
  <si>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</si>
  <si>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</si>
  <si>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</si>
  <si>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</si>
  <si>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</si>
  <si>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</si>
  <si>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</si>
  <si>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</si>
  <si>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</si>
  <si>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</si>
  <si>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</si>
  <si>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</si>
  <si>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</si>
  <si>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</si>
  <si>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</si>
  <si>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</si>
  <si>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</si>
  <si>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</si>
  <si>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</si>
  <si>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</si>
  <si>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</si>
  <si>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</si>
  <si>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</si>
  <si>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</si>
  <si>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</si>
  <si>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</si>
  <si>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</si>
  <si>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</si>
  <si>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</si>
  <si>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</si>
  <si>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</si>
  <si>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</si>
  <si>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</si>
  <si>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</si>
  <si>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</si>
  <si>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</si>
  <si>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</si>
  <si>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</si>
  <si>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</si>
  <si>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</si>
  <si>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</si>
  <si>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</si>
  <si>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</si>
  <si>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</si>
  <si>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</si>
  <si>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</si>
  <si>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</si>
  <si>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</si>
  <si>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</si>
  <si>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</si>
  <si>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</si>
  <si>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</si>
  <si>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</si>
  <si>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</si>
  <si>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</si>
  <si>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</si>
  <si>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</si>
  <si>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</si>
  <si>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</si>
  <si>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</si>
  <si>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</si>
  <si>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</si>
  <si>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</si>
  <si>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</si>
  <si>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</si>
  <si>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</si>
  <si>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</si>
  <si>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</si>
  <si>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</si>
  <si>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</si>
  <si>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</si>
  <si>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</si>
  <si>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</si>
  <si>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</si>
  <si>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</si>
  <si>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</si>
  <si>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</si>
  <si>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</si>
  <si>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</si>
  <si>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</si>
  <si>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</si>
  <si>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</si>
  <si>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</si>
  <si>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</si>
  <si>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</si>
  <si>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</si>
  <si>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</si>
  <si>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</si>
  <si>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</si>
  <si>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</si>
  <si>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</si>
  <si>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</si>
  <si>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</si>
  <si>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</si>
  <si>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</si>
  <si>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</si>
  <si>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</si>
  <si>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</si>
  <si>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</si>
  <si>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</si>
  <si>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</si>
  <si>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</si>
  <si>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</si>
  <si>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</si>
  <si>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</si>
  <si>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</si>
  <si>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</si>
  <si>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</si>
  <si>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</si>
  <si>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</si>
  <si>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</si>
  <si>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</si>
  <si>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</si>
  <si>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</si>
  <si>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</si>
  <si>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</si>
  <si>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</si>
  <si>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</si>
  <si>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</si>
  <si>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</si>
  <si>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</si>
  <si>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</si>
  <si>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</si>
  <si>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</si>
  <si>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</si>
  <si>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</si>
  <si>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</si>
  <si>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</si>
  <si>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</si>
  <si>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</si>
  <si>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</si>
  <si>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</si>
  <si>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</si>
  <si>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</si>
  <si>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</si>
  <si>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</si>
  <si>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</si>
  <si>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</si>
  <si>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</si>
  <si>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</si>
  <si>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</si>
  <si>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</si>
  <si>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</si>
  <si>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</si>
  <si>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</si>
  <si>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</si>
  <si>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</si>
  <si>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</si>
  <si>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</si>
  <si>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</si>
  <si>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</si>
  <si>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</si>
  <si>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</si>
  <si>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</si>
  <si>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</si>
  <si>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</si>
  <si>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</si>
  <si>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</si>
  <si>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</si>
  <si>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</si>
  <si>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</si>
  <si>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</si>
  <si>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</si>
  <si>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</si>
  <si>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</si>
  <si>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</si>
  <si>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</si>
  <si>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</si>
  <si>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</si>
  <si>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</si>
  <si>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</si>
  <si>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</si>
  <si>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</si>
  <si>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</si>
  <si>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</si>
  <si>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</si>
  <si>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</si>
  <si>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</si>
  <si>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</si>
  <si>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</si>
  <si>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</si>
  <si>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</si>
  <si>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</si>
  <si>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</si>
  <si>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</si>
  <si>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</si>
  <si>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</si>
  <si>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</si>
  <si>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</si>
  <si>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</si>
  <si>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</si>
  <si>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</si>
  <si>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</si>
  <si>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</si>
  <si>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</si>
  <si>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</si>
  <si>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</si>
  <si>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</si>
  <si>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</si>
  <si>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</si>
  <si>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</si>
  <si>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</si>
  <si>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</si>
  <si>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</si>
  <si>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</si>
  <si>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</si>
  <si>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</si>
  <si>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</si>
  <si>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</si>
  <si>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</si>
  <si>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</si>
  <si>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</si>
  <si>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</si>
  <si>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</si>
  <si>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</si>
  <si>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</si>
  <si>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</si>
  <si>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</si>
  <si>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</si>
  <si>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</si>
  <si>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</si>
  <si>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</si>
  <si>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</si>
  <si>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</si>
  <si>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</si>
  <si>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</si>
  <si>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</si>
  <si>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</si>
  <si>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</si>
  <si>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</si>
  <si>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</si>
  <si>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</si>
  <si>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</si>
  <si>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</si>
  <si>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</si>
  <si>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</si>
  <si>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</si>
  <si>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</si>
  <si>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</si>
  <si>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</si>
  <si>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</si>
  <si>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</si>
  <si>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</si>
  <si>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</si>
  <si>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</si>
  <si>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</si>
  <si>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</si>
  <si>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</si>
  <si>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</si>
  <si>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</si>
  <si>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</si>
  <si>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</si>
  <si>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</si>
  <si>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</si>
  <si>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</si>
  <si>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</si>
  <si>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</si>
  <si>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</si>
  <si>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</si>
  <si>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</si>
  <si>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</si>
  <si>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</si>
  <si>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</si>
  <si>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</si>
  <si>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</si>
  <si>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</si>
  <si>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</si>
  <si>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</si>
  <si>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</si>
  <si>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</si>
  <si>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</si>
  <si>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</si>
  <si>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</si>
  <si>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</si>
  <si>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</si>
  <si>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</si>
  <si>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</si>
  <si>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</si>
  <si>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</si>
  <si>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</si>
  <si>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</si>
  <si>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</si>
  <si>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</si>
  <si>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</si>
  <si>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</si>
  <si>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</si>
  <si>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</si>
  <si>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</si>
  <si>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</si>
  <si>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</si>
  <si>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</si>
  <si>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</si>
  <si>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</si>
  <si>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</si>
  <si>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</si>
  <si>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</si>
  <si>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</si>
  <si>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</si>
  <si>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</si>
  <si>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</si>
  <si>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</si>
  <si>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</si>
  <si>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</si>
  <si>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</si>
  <si>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</si>
  <si>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</si>
  <si>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</si>
  <si>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</si>
  <si>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</si>
  <si>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</si>
  <si>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</si>
  <si>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</si>
  <si>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</si>
  <si>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</si>
  <si>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</si>
  <si>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</si>
  <si>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</si>
  <si>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</si>
  <si>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</si>
  <si>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</si>
  <si>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</si>
  <si>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</si>
  <si>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</si>
  <si>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</si>
  <si>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</si>
  <si>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</si>
  <si>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</si>
  <si>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</si>
  <si>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</si>
  <si>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</si>
  <si>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</si>
  <si>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</si>
  <si>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</si>
  <si>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</si>
  <si>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</si>
  <si>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</si>
  <si>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</si>
  <si>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</si>
  <si>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</si>
  <si>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</si>
  <si>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</si>
  <si>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</si>
  <si>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</si>
  <si>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</si>
  <si>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</si>
  <si>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</si>
  <si>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</si>
  <si>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</si>
  <si>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</si>
  <si>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</si>
  <si>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</si>
  <si>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</si>
  <si>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</si>
  <si>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</si>
  <si>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</si>
  <si>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</si>
  <si>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</si>
  <si>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</si>
  <si>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</si>
  <si>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</si>
  <si>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</si>
  <si>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</si>
  <si>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</si>
  <si>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</si>
  <si>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</si>
  <si>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</si>
  <si>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</si>
  <si>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</si>
  <si>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</si>
  <si>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</si>
  <si>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</si>
  <si>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</si>
  <si>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</si>
  <si>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</si>
  <si>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</si>
  <si>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</si>
  <si>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</si>
  <si>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</si>
  <si>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</si>
  <si>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</si>
  <si>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</si>
  <si>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</si>
  <si>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</si>
  <si>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</si>
  <si>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</si>
  <si>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</si>
  <si>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</si>
  <si>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</si>
  <si>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</si>
  <si>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</si>
  <si>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</si>
  <si>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</si>
  <si>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</si>
  <si>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</si>
  <si>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</si>
  <si>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</si>
  <si>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</si>
  <si>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</si>
  <si>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</si>
  <si>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</si>
  <si>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</si>
  <si>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</si>
  <si>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</si>
  <si>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</si>
  <si>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</si>
  <si>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</si>
  <si>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</si>
  <si>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</si>
  <si>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</si>
  <si>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</si>
  <si>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</si>
  <si>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</si>
  <si>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</si>
  <si>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</si>
  <si>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</si>
  <si>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</si>
  <si>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</si>
  <si>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</si>
  <si>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</si>
  <si>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</si>
  <si>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</si>
  <si>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</si>
  <si>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</si>
  <si>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</si>
  <si>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</si>
  <si>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</si>
  <si>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</si>
  <si>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</si>
  <si>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</si>
  <si>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</si>
  <si>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</si>
  <si>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</si>
  <si>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</si>
  <si>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</si>
  <si>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</si>
  <si>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</si>
  <si>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</si>
  <si>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</si>
  <si>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</si>
  <si>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</si>
  <si>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</si>
  <si>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</si>
  <si>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</si>
  <si>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</si>
  <si>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</si>
  <si>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</si>
  <si>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</si>
  <si>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</si>
  <si>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</si>
  <si>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</si>
  <si>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</si>
  <si>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</si>
  <si>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</si>
  <si>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</si>
  <si>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</si>
  <si>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</si>
  <si>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</si>
  <si>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</si>
  <si>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</si>
  <si>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</si>
  <si>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</si>
  <si>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</si>
  <si>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</si>
  <si>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</si>
  <si>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</si>
  <si>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</si>
  <si>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</si>
  <si>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</si>
  <si>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</si>
  <si>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</si>
  <si>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</si>
  <si>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</si>
  <si>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</si>
  <si>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</si>
  <si>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</si>
  <si>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</si>
  <si>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</si>
  <si>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</si>
  <si>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</si>
  <si>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</si>
  <si>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</si>
  <si>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</si>
  <si>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</si>
  <si>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</si>
  <si>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</si>
  <si>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</si>
  <si>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</si>
  <si>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</si>
  <si>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</si>
  <si>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</si>
  <si>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</si>
  <si>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</si>
  <si>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</si>
  <si>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</si>
  <si>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</si>
  <si>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</si>
  <si>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</si>
  <si>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</si>
  <si>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</si>
  <si>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</si>
  <si>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</si>
  <si>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</si>
  <si>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</si>
  <si>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</si>
  <si>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</si>
  <si>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</si>
  <si>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</si>
  <si>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</si>
  <si>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</si>
  <si>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</si>
  <si>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</si>
  <si>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</si>
  <si>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</si>
  <si>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</si>
  <si>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</si>
  <si>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</si>
  <si>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</si>
  <si>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</si>
  <si>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</si>
  <si>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</si>
  <si>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</si>
  <si>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</si>
  <si>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</si>
  <si>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</si>
  <si>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</si>
  <si>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</si>
  <si>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</si>
  <si>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</si>
  <si>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</si>
  <si>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</si>
  <si>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</si>
  <si>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</si>
  <si>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</si>
  <si>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</si>
  <si>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</si>
  <si>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</si>
  <si>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</si>
  <si>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</si>
  <si>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</si>
  <si>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</si>
  <si>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</si>
  <si>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</si>
  <si>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</si>
  <si>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</si>
  <si>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</si>
  <si>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</si>
  <si>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</si>
  <si>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</si>
  <si>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</si>
  <si>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</si>
  <si>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</si>
  <si>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</si>
  <si>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</si>
  <si>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</si>
  <si>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</si>
  <si>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</si>
  <si>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</si>
  <si>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</si>
  <si>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</si>
  <si>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</si>
  <si>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</si>
  <si>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</si>
  <si>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</si>
  <si>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</si>
  <si>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</si>
  <si>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</si>
  <si>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</si>
  <si>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</si>
  <si>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</si>
  <si>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</si>
  <si>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</si>
  <si>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</si>
  <si>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</si>
  <si>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</si>
  <si>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</si>
  <si>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</si>
  <si>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</si>
  <si>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</si>
  <si>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</si>
  <si>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</si>
  <si>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</si>
  <si>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</si>
  <si>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</si>
  <si>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</si>
  <si>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</si>
  <si>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</si>
  <si>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</si>
  <si>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</si>
  <si>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</si>
  <si>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</si>
  <si>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</si>
  <si>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</si>
  <si>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</si>
  <si>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</si>
  <si>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</si>
  <si>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</si>
  <si>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</si>
  <si>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</si>
  <si>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</si>
  <si>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</si>
  <si>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</si>
  <si>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</si>
  <si>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</si>
  <si>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</si>
  <si>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</si>
  <si>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</si>
  <si>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</si>
  <si>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</si>
  <si>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</si>
  <si>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</si>
  <si>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</si>
  <si>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</si>
  <si>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</si>
  <si>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</si>
  <si>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</si>
  <si>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</si>
  <si>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</si>
  <si>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</si>
  <si>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</si>
  <si>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</si>
  <si>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</si>
  <si>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</si>
  <si>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</si>
  <si>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</si>
  <si>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</si>
  <si>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</si>
  <si>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</si>
  <si>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</si>
  <si>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</si>
  <si>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</si>
  <si>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</si>
  <si>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</si>
  <si>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</si>
  <si>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</si>
  <si>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</si>
  <si>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</si>
  <si>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</si>
  <si>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</si>
  <si>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</si>
  <si>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</si>
  <si>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</si>
  <si>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</si>
  <si>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</si>
  <si>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</si>
  <si>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</si>
  <si>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</si>
  <si>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</si>
  <si>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</si>
  <si>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</si>
  <si>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</si>
  <si>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</si>
  <si>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</si>
  <si>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</si>
  <si>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</si>
  <si>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</si>
  <si>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</si>
  <si>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</si>
  <si>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</si>
  <si>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</si>
  <si>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</si>
  <si>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</si>
  <si>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</si>
  <si>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</si>
  <si>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</si>
  <si>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</si>
  <si>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</si>
  <si>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</si>
  <si>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</si>
  <si>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</si>
  <si>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</si>
  <si>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</si>
  <si>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</si>
  <si>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</si>
  <si>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</si>
  <si>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</si>
  <si>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</si>
  <si>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</si>
  <si>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</si>
  <si>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</si>
  <si>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</si>
  <si>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</si>
  <si>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</si>
  <si>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</si>
  <si>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</si>
  <si>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</si>
  <si>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</si>
  <si>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</si>
  <si>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</si>
  <si>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</si>
  <si>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</si>
  <si>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</si>
  <si>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</si>
  <si>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</si>
  <si>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</si>
  <si>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</si>
  <si>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</si>
  <si>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</si>
  <si>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</si>
  <si>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</si>
  <si>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</si>
  <si>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</si>
  <si>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</si>
  <si>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</si>
  <si>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</si>
  <si>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</si>
  <si>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</si>
  <si>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</si>
  <si>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</si>
  <si>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</si>
  <si>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</si>
  <si>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</si>
  <si>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</si>
  <si>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</si>
  <si>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</si>
  <si>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</si>
  <si>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</si>
  <si>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</si>
  <si>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</si>
  <si>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</si>
  <si>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</si>
  <si>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</si>
  <si>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</si>
  <si>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</si>
  <si>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</si>
  <si>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</si>
  <si>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</si>
  <si>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</si>
  <si>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</si>
  <si>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</si>
  <si>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</si>
  <si>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</si>
  <si>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</si>
  <si>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</si>
  <si>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</si>
  <si>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</si>
  <si>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</si>
  <si>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</si>
  <si>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</si>
  <si>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</si>
  <si>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</si>
  <si>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</si>
  <si>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</si>
  <si>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</si>
  <si>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</si>
  <si>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</si>
  <si>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</si>
  <si>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</si>
  <si>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</si>
  <si>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</si>
  <si>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</si>
  <si>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</si>
  <si>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</si>
  <si>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</si>
  <si>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</si>
  <si>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</si>
  <si>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</si>
  <si>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</si>
  <si>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</si>
  <si>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</si>
  <si>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</si>
  <si>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</si>
  <si>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</si>
  <si>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</si>
  <si>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</si>
  <si>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</si>
  <si>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</si>
  <si>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</si>
  <si>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</si>
  <si>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</si>
  <si>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</si>
  <si>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</si>
  <si>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</si>
  <si>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</si>
  <si>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</si>
  <si>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</si>
  <si>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</si>
  <si>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</si>
  <si>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</si>
  <si>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</si>
  <si>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</si>
  <si>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</si>
  <si>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</si>
  <si>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</si>
  <si>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</si>
  <si>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</si>
  <si>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</si>
  <si>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</si>
  <si>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</si>
  <si>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</si>
  <si>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</si>
  <si>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</si>
  <si>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</si>
  <si>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</si>
  <si>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</si>
  <si>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</si>
  <si>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</si>
  <si>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</si>
  <si>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</si>
  <si>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</si>
  <si>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</si>
  <si>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</si>
  <si>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</si>
  <si>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</si>
  <si>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</si>
  <si>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</si>
  <si>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</si>
  <si>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</si>
  <si>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</si>
  <si>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</si>
  <si>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</si>
  <si>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</si>
  <si>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</si>
  <si>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</si>
  <si>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</si>
  <si>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</si>
  <si>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</si>
  <si>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</si>
  <si>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</si>
  <si>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</si>
  <si>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</si>
  <si>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</si>
  <si>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</si>
  <si>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</si>
  <si>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</si>
  <si>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</si>
  <si>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</si>
  <si>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</si>
  <si>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</si>
  <si>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</si>
  <si>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</si>
  <si>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</si>
  <si>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</si>
  <si>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</si>
  <si>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</si>
  <si>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</si>
  <si>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</si>
  <si>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</si>
  <si>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</si>
  <si>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</si>
  <si>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</si>
  <si>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</si>
  <si>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</si>
  <si>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</si>
  <si>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</si>
  <si>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</si>
  <si>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</si>
  <si>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</si>
  <si>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</si>
  <si>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</si>
  <si>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</si>
  <si>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</si>
  <si>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</si>
  <si>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</si>
  <si>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</si>
  <si>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</si>
  <si>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</si>
  <si>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</si>
  <si>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</si>
  <si>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</si>
  <si>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</si>
  <si>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</si>
  <si>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</si>
  <si>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</si>
  <si>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</si>
  <si>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</si>
  <si>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</si>
  <si>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</si>
  <si>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</si>
  <si>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</si>
  <si>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</si>
  <si>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</si>
  <si>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</si>
  <si>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</si>
  <si>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</si>
  <si>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</si>
  <si>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</si>
  <si>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</si>
  <si>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</si>
  <si>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</si>
  <si>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</si>
  <si>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</si>
  <si>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</si>
  <si>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</si>
  <si>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</si>
  <si>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</si>
  <si>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</si>
  <si>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</si>
  <si>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</si>
  <si>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</si>
  <si>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</si>
  <si>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</si>
  <si>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</si>
  <si>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</si>
  <si>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</si>
  <si>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</si>
  <si>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</si>
  <si>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</si>
  <si>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</si>
  <si>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</si>
  <si>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</si>
  <si>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</si>
  <si>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</si>
  <si>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</si>
  <si>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</si>
  <si>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</si>
  <si>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</si>
  <si>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</si>
  <si>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</si>
  <si>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</si>
  <si>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</si>
  <si>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</si>
  <si>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</si>
  <si>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</si>
  <si>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</si>
  <si>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</si>
  <si>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</si>
  <si>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</si>
  <si>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</si>
  <si>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</si>
  <si>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</si>
  <si>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</si>
  <si>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</si>
  <si>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</si>
  <si>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</si>
  <si>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</si>
  <si>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</si>
  <si>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</si>
  <si>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</si>
  <si>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</si>
  <si>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</si>
  <si>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</si>
  <si>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</si>
  <si>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</si>
  <si>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</si>
  <si>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</si>
  <si>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</si>
  <si>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</si>
  <si>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</si>
  <si>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</si>
  <si>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</si>
  <si>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</si>
  <si>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</si>
  <si>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</si>
  <si>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</si>
  <si>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</si>
  <si>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</si>
  <si>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</si>
  <si>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</si>
  <si>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</si>
  <si>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</si>
  <si>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</si>
  <si>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</si>
  <si>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</si>
  <si>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</si>
  <si>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</si>
  <si>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</si>
  <si>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</si>
  <si>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</si>
  <si>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</si>
  <si>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</si>
  <si>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</si>
  <si>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</si>
  <si>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</si>
  <si>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</si>
  <si>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</si>
  <si>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</si>
  <si>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</si>
  <si>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</si>
  <si>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</si>
  <si>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</si>
  <si>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</si>
  <si>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</si>
  <si>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</si>
  <si>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</si>
  <si>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</si>
  <si>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</si>
  <si>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</si>
  <si>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</si>
  <si>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</si>
  <si>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</si>
  <si>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</si>
  <si>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</si>
  <si>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</si>
  <si>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</si>
  <si>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</si>
  <si>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</si>
  <si>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</si>
  <si>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</si>
  <si>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</si>
  <si>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</si>
  <si>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</si>
  <si>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</si>
  <si>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</si>
  <si>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</si>
  <si>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</si>
  <si>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</si>
  <si>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</si>
  <si>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</si>
  <si>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</si>
  <si>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</si>
  <si>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</si>
  <si>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</si>
  <si>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</si>
  <si>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</si>
  <si>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</si>
  <si>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</si>
  <si>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</si>
  <si>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</si>
  <si>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</si>
  <si>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</si>
  <si>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</si>
  <si>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</si>
  <si>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</si>
  <si>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</si>
  <si>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</si>
  <si>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</si>
  <si>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</si>
  <si>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</si>
  <si>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</si>
  <si>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</si>
  <si>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</si>
  <si>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</si>
  <si>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</si>
  <si>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</si>
  <si>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</si>
  <si>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</si>
  <si>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</si>
  <si>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</si>
  <si>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</si>
  <si>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</si>
  <si>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</si>
  <si>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</si>
  <si>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</si>
  <si>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</si>
  <si>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</si>
  <si>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</si>
  <si>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</si>
  <si>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</si>
  <si>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</si>
  <si>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</si>
  <si>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</si>
  <si>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</si>
  <si>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</si>
  <si>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</si>
  <si>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</si>
  <si>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</si>
  <si>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</si>
  <si>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</si>
  <si>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</si>
  <si>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</si>
  <si>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</si>
  <si>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</si>
  <si>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</si>
  <si>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</si>
  <si>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</si>
  <si>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</si>
  <si>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</si>
  <si>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</si>
  <si>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</si>
  <si>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</si>
  <si>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</si>
  <si>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</si>
  <si>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</si>
  <si>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</si>
  <si>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</si>
  <si>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</si>
  <si>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</si>
  <si>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</si>
  <si>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</si>
  <si>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</si>
  <si>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</si>
  <si>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</si>
  <si>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</si>
  <si>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</si>
  <si>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</si>
  <si>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</si>
  <si>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</si>
  <si>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</si>
  <si>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</si>
  <si>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</si>
  <si>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</si>
  <si>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</si>
  <si>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</si>
  <si>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</si>
  <si>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</si>
  <si>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</si>
  <si>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</si>
  <si>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</si>
  <si>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</si>
  <si>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</si>
  <si>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</si>
  <si>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</si>
  <si>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</si>
  <si>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</si>
  <si>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</si>
  <si>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</si>
  <si>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</si>
  <si>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</si>
  <si>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</si>
  <si>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</si>
  <si>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</si>
  <si>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</si>
  <si>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</si>
  <si>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</si>
  <si>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</si>
  <si>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</si>
  <si>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</si>
  <si>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</si>
  <si>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</si>
  <si>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</si>
  <si>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</si>
  <si>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</si>
  <si>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</si>
  <si>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</si>
  <si>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</si>
  <si>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</si>
  <si>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</si>
  <si>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</si>
  <si>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</si>
  <si>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</si>
  <si>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</si>
  <si>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</si>
  <si>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</si>
  <si>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</si>
  <si>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</si>
  <si>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</si>
  <si>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</si>
  <si>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</si>
  <si>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</si>
  <si>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</si>
  <si>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</si>
  <si>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</si>
  <si>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</si>
  <si>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</si>
  <si>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</si>
  <si>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</si>
  <si>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</si>
  <si>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</si>
  <si>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</si>
  <si>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</si>
  <si>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</si>
  <si>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</si>
  <si>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</si>
  <si>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</si>
  <si>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</si>
  <si>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</si>
  <si>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</si>
  <si>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</si>
  <si>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</si>
  <si>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</si>
  <si>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</si>
  <si>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</si>
  <si>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</si>
  <si>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</si>
  <si>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</si>
  <si>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</si>
  <si>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</si>
  <si>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</si>
  <si>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</si>
  <si>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</si>
  <si>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</si>
  <si>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</si>
  <si>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</si>
  <si>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</si>
  <si>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</si>
  <si>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</si>
  <si>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</si>
  <si>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</si>
  <si>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</si>
  <si>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</si>
  <si>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</si>
  <si>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</si>
  <si>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</si>
  <si>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</si>
  <si>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</si>
  <si>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</si>
  <si>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</si>
  <si>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</si>
  <si>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</si>
  <si>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</si>
  <si>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</si>
  <si>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</si>
  <si>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</si>
  <si>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</si>
  <si>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</si>
  <si>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</si>
  <si>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</si>
  <si>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</si>
  <si>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</si>
  <si>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</si>
  <si>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</si>
  <si>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</si>
  <si>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</si>
  <si>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</si>
  <si>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</si>
  <si>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</si>
  <si>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</si>
  <si>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</si>
  <si>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</si>
  <si>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</si>
  <si>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</si>
  <si>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</si>
  <si>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</si>
  <si>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</si>
  <si>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</si>
  <si>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</si>
  <si>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</si>
  <si>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</si>
  <si>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</si>
  <si>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</si>
  <si>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</si>
  <si>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</si>
  <si>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</si>
  <si>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</si>
  <si>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</si>
  <si>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</si>
  <si>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</si>
  <si>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</si>
  <si>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</si>
  <si>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</si>
  <si>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</si>
  <si>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</si>
  <si>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</si>
  <si>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</si>
  <si>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</si>
  <si>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</si>
  <si>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</si>
  <si>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</si>
  <si>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</si>
  <si>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</si>
  <si>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</si>
  <si>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</si>
  <si>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</si>
  <si>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</si>
  <si>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</si>
  <si>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</si>
  <si>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</si>
  <si>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</si>
  <si>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</si>
  <si>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</si>
  <si>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</si>
  <si>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</si>
  <si>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</si>
  <si>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</si>
  <si>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</si>
  <si>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</si>
  <si>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</si>
  <si>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</si>
  <si>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</si>
  <si>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</si>
  <si>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</si>
  <si>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</si>
  <si>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</si>
  <si>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</si>
  <si>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</si>
  <si>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</si>
  <si>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</si>
  <si>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</si>
  <si>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</si>
  <si>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</si>
  <si>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</si>
  <si>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</si>
  <si>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</si>
  <si>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</si>
  <si>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</si>
  <si>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</si>
  <si>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</si>
  <si>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</si>
  <si>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</si>
  <si>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</si>
  <si>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</si>
  <si>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</si>
  <si>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</si>
  <si>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</si>
  <si>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</si>
  <si>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</si>
  <si>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</si>
  <si>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</si>
  <si>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</si>
  <si>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</si>
  <si>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</si>
  <si>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</si>
  <si>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</si>
  <si>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</si>
  <si>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</si>
  <si>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</si>
  <si>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</si>
  <si>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</si>
  <si>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</si>
  <si>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</si>
  <si>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</si>
  <si>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</si>
  <si>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</si>
  <si>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</si>
  <si>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</si>
  <si>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</si>
  <si>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</si>
  <si>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</si>
  <si>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</si>
  <si>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</si>
  <si>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</si>
  <si>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</si>
  <si>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</si>
  <si>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</si>
  <si>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</si>
  <si>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</si>
  <si>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</si>
  <si>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</si>
  <si>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</si>
  <si>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</si>
  <si>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</si>
  <si>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</si>
  <si>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</si>
  <si>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</si>
  <si>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</si>
  <si>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</si>
  <si>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</si>
  <si>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</si>
  <si>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</si>
  <si>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</si>
  <si>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</si>
  <si>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</si>
  <si>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</si>
  <si>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</si>
  <si>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</si>
  <si>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</si>
  <si>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</si>
  <si>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</si>
  <si>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</si>
  <si>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</si>
  <si>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</si>
  <si>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</si>
  <si>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</si>
  <si>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</si>
  <si>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</si>
  <si>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</si>
  <si>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</si>
  <si>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</si>
  <si>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</si>
  <si>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</si>
  <si>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</si>
  <si>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</si>
  <si>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</si>
  <si>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</si>
  <si>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</si>
  <si>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</si>
  <si>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</si>
  <si>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</si>
  <si>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</si>
  <si>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</si>
  <si>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</si>
  <si>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</si>
  <si>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</si>
  <si>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</si>
  <si>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</si>
  <si>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</si>
  <si>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</si>
  <si>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</si>
  <si>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</si>
  <si>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</si>
  <si>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</si>
  <si>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</si>
  <si>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</si>
  <si>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</si>
  <si>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</si>
  <si>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</si>
  <si>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</si>
  <si>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</si>
  <si>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</si>
  <si>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</si>
  <si>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</si>
  <si>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</si>
  <si>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</si>
  <si>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</si>
  <si>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</si>
  <si>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</si>
  <si>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</si>
  <si>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</si>
  <si>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</si>
  <si>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</si>
  <si>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</si>
  <si>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</si>
  <si>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</si>
  <si>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</si>
  <si>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</si>
  <si>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</si>
  <si>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</si>
  <si>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</si>
  <si>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</si>
  <si>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</si>
  <si>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</si>
  <si>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</si>
  <si>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</si>
  <si>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</si>
  <si>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</si>
  <si>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</si>
  <si>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</si>
  <si>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</si>
  <si>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</si>
  <si>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</si>
  <si>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</si>
  <si>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</si>
  <si>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</si>
  <si>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</si>
  <si>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</si>
  <si>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</si>
  <si>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</si>
  <si>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</si>
  <si>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</si>
  <si>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</si>
  <si>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</si>
  <si>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</si>
  <si>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</si>
  <si>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</si>
  <si>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</si>
  <si>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</si>
  <si>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</si>
  <si>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</si>
  <si>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</si>
  <si>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</si>
  <si>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</si>
  <si>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</si>
  <si>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</si>
  <si>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</si>
  <si>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</si>
  <si>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</si>
  <si>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</si>
  <si>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</si>
  <si>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</si>
  <si>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</si>
  <si>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</si>
  <si>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</si>
  <si>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</si>
  <si>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</si>
  <si>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</si>
  <si>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</si>
  <si>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</si>
  <si>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</si>
  <si>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</si>
  <si>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</si>
  <si>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</si>
  <si>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</si>
  <si>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</si>
  <si>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</si>
  <si>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</si>
  <si>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</si>
  <si>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</si>
  <si>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</si>
  <si>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</si>
  <si>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</si>
  <si>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</si>
  <si>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</si>
  <si>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</si>
  <si>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</si>
  <si>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</si>
  <si>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</si>
  <si>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</si>
  <si>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</si>
  <si>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</si>
  <si>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</si>
  <si>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</si>
  <si>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</si>
  <si>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</si>
  <si>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</si>
  <si>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</si>
  <si>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</si>
  <si>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</si>
  <si>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</si>
  <si>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</si>
  <si>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</si>
  <si>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</si>
  <si>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</si>
  <si>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</si>
  <si>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</si>
  <si>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</si>
  <si>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</si>
  <si>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</si>
  <si>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</si>
  <si>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</si>
  <si>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</si>
  <si>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</si>
  <si>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</si>
  <si>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</si>
  <si>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</si>
  <si>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</si>
  <si>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</si>
  <si>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</si>
  <si>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</si>
  <si>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</si>
  <si>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</si>
  <si>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</si>
  <si>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</si>
  <si>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</si>
  <si>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</si>
  <si>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</si>
  <si>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</si>
  <si>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</si>
  <si>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</si>
  <si>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</si>
  <si>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</si>
  <si>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</si>
  <si>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</si>
  <si>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</si>
  <si>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</si>
  <si>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</si>
  <si>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</si>
  <si>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</si>
  <si>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</si>
  <si>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</si>
  <si>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</si>
  <si>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</si>
  <si>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</si>
  <si>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</si>
  <si>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</si>
  <si>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</si>
  <si>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</si>
  <si>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</si>
  <si>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</si>
  <si>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</si>
  <si>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</si>
  <si>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</si>
  <si>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</si>
  <si>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</si>
  <si>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</si>
  <si>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</si>
  <si>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</si>
  <si>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</si>
  <si>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</si>
  <si>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</si>
  <si>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</si>
  <si>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</si>
  <si>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</si>
  <si>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</si>
  <si>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</si>
  <si>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</si>
  <si>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</si>
  <si>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</si>
  <si>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</si>
  <si>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</si>
  <si>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</si>
  <si>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</si>
  <si>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</si>
  <si>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</si>
  <si>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</si>
  <si>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</si>
  <si>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</si>
  <si>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</si>
  <si>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</si>
  <si>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</si>
  <si>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</si>
  <si>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</si>
  <si>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</si>
  <si>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</si>
  <si>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</si>
  <si>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</si>
  <si>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</si>
  <si>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</si>
  <si>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</si>
  <si>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</si>
  <si>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</si>
  <si>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</si>
  <si>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</si>
  <si>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</si>
  <si>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</si>
  <si>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</si>
  <si>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</si>
  <si>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</si>
  <si>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</si>
  <si>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</si>
  <si>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</si>
  <si>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</si>
  <si>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</si>
  <si>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</si>
  <si>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</si>
  <si>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</si>
  <si>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</si>
  <si>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</si>
  <si>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</si>
  <si>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</si>
  <si>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</si>
  <si>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</si>
  <si>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</si>
  <si>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</si>
  <si>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</si>
  <si>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</si>
  <si>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</si>
  <si>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</si>
  <si>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</si>
  <si>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</si>
  <si>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</si>
  <si>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</si>
  <si>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</si>
  <si>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</si>
  <si>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</si>
  <si>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</si>
  <si>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</si>
  <si>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</si>
  <si>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</si>
  <si>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</si>
  <si>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</si>
  <si>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</si>
  <si>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</si>
  <si>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</si>
  <si>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</si>
  <si>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</si>
  <si>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</si>
  <si>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</si>
  <si>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</si>
  <si>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</si>
  <si>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</si>
  <si>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</si>
  <si>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</si>
  <si>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</si>
  <si>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</si>
  <si>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</si>
  <si>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</si>
  <si>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</si>
  <si>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</si>
  <si>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</si>
  <si>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</si>
  <si>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</si>
  <si>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</si>
  <si>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</si>
  <si>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</si>
  <si>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</si>
  <si>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</si>
  <si>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</si>
  <si>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</si>
  <si>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</si>
  <si>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</si>
  <si>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</si>
  <si>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</si>
  <si>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</si>
  <si>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</si>
  <si>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</si>
  <si>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</si>
  <si>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</si>
  <si>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</si>
  <si>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</si>
  <si>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</si>
  <si>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</si>
  <si>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</si>
  <si>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</si>
  <si>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</si>
  <si>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</si>
  <si>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</si>
  <si>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</si>
  <si>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</si>
  <si>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</si>
  <si>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</si>
  <si>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</si>
  <si>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</si>
  <si>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</si>
  <si>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</si>
  <si>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</si>
  <si>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</si>
  <si>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</si>
  <si>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</si>
  <si>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</si>
  <si>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</si>
  <si>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</si>
  <si>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</si>
  <si>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</si>
  <si>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</si>
  <si>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</si>
  <si>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</si>
  <si>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</si>
  <si>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</si>
  <si>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</si>
  <si>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</si>
  <si>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</si>
  <si>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</si>
  <si>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</si>
  <si>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</si>
  <si>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</si>
  <si>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</si>
  <si>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</si>
  <si>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</si>
  <si>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</si>
  <si>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</si>
  <si>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</si>
  <si>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</si>
  <si>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</si>
  <si>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</si>
  <si>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</si>
  <si>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</si>
  <si>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</si>
  <si>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</si>
  <si>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</si>
  <si>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</si>
  <si>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</si>
  <si>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</si>
  <si>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</si>
  <si>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</si>
  <si>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</si>
  <si>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</si>
  <si>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</si>
  <si>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</si>
  <si>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</si>
  <si>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</si>
  <si>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</si>
  <si>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</si>
  <si>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</si>
  <si>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</si>
  <si>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</si>
  <si>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</si>
  <si>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</si>
  <si>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</si>
  <si>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</si>
  <si>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</si>
  <si>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</si>
  <si>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</si>
  <si>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</si>
  <si>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</si>
  <si>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</si>
  <si>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</si>
  <si>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</si>
  <si>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</si>
  <si>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</si>
  <si>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</si>
  <si>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</si>
  <si>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</si>
  <si>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</si>
  <si>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</si>
  <si>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</si>
  <si>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</si>
  <si>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</si>
  <si>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</si>
  <si>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</si>
  <si>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</si>
  <si>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</si>
  <si>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</si>
  <si>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</si>
  <si>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</si>
  <si>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</si>
  <si>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</si>
  <si>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</si>
  <si>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</si>
  <si>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</si>
  <si>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</si>
  <si>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</si>
  <si>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</si>
  <si>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</si>
  <si>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</si>
  <si>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</si>
  <si>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</si>
  <si>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</si>
  <si>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</si>
  <si>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</si>
  <si>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</si>
  <si>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</si>
  <si>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</si>
  <si>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</si>
  <si>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</si>
  <si>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</si>
  <si>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</si>
  <si>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</si>
  <si>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</si>
  <si>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</si>
  <si>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</si>
  <si>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</si>
  <si>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</si>
  <si>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</si>
  <si>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</si>
  <si>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</si>
  <si>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</si>
  <si>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</si>
  <si>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</si>
  <si>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</si>
  <si>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</si>
  <si>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</si>
  <si>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</si>
  <si>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</si>
  <si>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</si>
  <si>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</si>
  <si>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</si>
  <si>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</si>
  <si>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</si>
  <si>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</si>
  <si>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</si>
  <si>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</si>
  <si>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</si>
  <si>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</si>
  <si>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</si>
  <si>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</si>
  <si>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</si>
  <si>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</si>
  <si>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</si>
  <si>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</si>
  <si>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</si>
  <si>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</si>
  <si>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</si>
  <si>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</si>
  <si>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</si>
  <si>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</si>
  <si>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</si>
  <si>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</si>
  <si>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</si>
  <si>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</si>
  <si>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</si>
  <si>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</si>
  <si>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</si>
  <si>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</si>
  <si>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</si>
  <si>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</si>
  <si>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</si>
  <si>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LAKE</t>
  </si>
  <si>
    <t xml:space="preserve">TWO STEVENSON DRIVE </t>
  </si>
  <si>
    <t>LINCOLNSHIRE</t>
  </si>
  <si>
    <t>Dr. Eric Twadell</t>
  </si>
  <si>
    <t>847-415-4000</t>
  </si>
  <si>
    <t>Evoy, Kamschulte, Jacobs &amp; Co. LLP</t>
  </si>
  <si>
    <t>John D. Aceto, Jr., CPA</t>
  </si>
  <si>
    <t>2122 Yeoman Street</t>
  </si>
  <si>
    <t>Waukegan</t>
  </si>
  <si>
    <t>IL</t>
  </si>
  <si>
    <t>847-662-8300</t>
  </si>
  <si>
    <t>847-662-8305</t>
  </si>
  <si>
    <t>jaceto@ekjllp.com</t>
  </si>
  <si>
    <t>2014 General Obligation Bonds</t>
  </si>
  <si>
    <t>2018 General Obligation Bonds</t>
  </si>
  <si>
    <t>Capital Leases</t>
  </si>
  <si>
    <t>Various</t>
  </si>
  <si>
    <t>32-33</t>
  </si>
  <si>
    <t>38 - 46</t>
  </si>
  <si>
    <t>US DEPARTMENT OF EDUCATION</t>
  </si>
  <si>
    <t>Pass-Through Programs (from ISBE)</t>
  </si>
  <si>
    <t>Special Education Cluster</t>
  </si>
  <si>
    <t>(M) IDEA Room &amp; Board</t>
  </si>
  <si>
    <t xml:space="preserve">      Total Passed Through ISBE</t>
  </si>
  <si>
    <t>(M) IDEA, Part B - Flow Through</t>
  </si>
  <si>
    <t>Total Special Education Cluster (IDEA)</t>
  </si>
  <si>
    <t>84.027A</t>
  </si>
  <si>
    <t>4625-2019</t>
  </si>
  <si>
    <t>4625-2020</t>
  </si>
  <si>
    <t>4620-2019</t>
  </si>
  <si>
    <t>4620-2020</t>
  </si>
  <si>
    <t>N/A</t>
  </si>
  <si>
    <t xml:space="preserve">      Title II - Teacher Quality</t>
  </si>
  <si>
    <t>84.367A</t>
  </si>
  <si>
    <t>4932-2019</t>
  </si>
  <si>
    <t>4932-2020</t>
  </si>
  <si>
    <t xml:space="preserve">      Title III - LIPLEP</t>
  </si>
  <si>
    <t>84.365A</t>
  </si>
  <si>
    <t>4909-2020</t>
  </si>
  <si>
    <t>Total Passed Though ISBE</t>
  </si>
  <si>
    <t>Pass-Through Programs (from Lake County Area Vocational System)</t>
  </si>
  <si>
    <t xml:space="preserve">      CTE - Perkins</t>
  </si>
  <si>
    <t>Total Passed Through Lake County Area Vocational System</t>
  </si>
  <si>
    <t>84.048A</t>
  </si>
  <si>
    <t>4745-2019</t>
  </si>
  <si>
    <t>4745-2020</t>
  </si>
  <si>
    <t>TOTAL US DEPARTMENT OF EDUCATION</t>
  </si>
  <si>
    <t>US DEPARTMENT OF HEALTH &amp; HUMAN SERVICES</t>
  </si>
  <si>
    <t>Pass-Through (from Illinois Department of Healthcare &amp; Family Serives)</t>
  </si>
  <si>
    <t xml:space="preserve">      Medicaid Matching Funds</t>
  </si>
  <si>
    <t xml:space="preserve">      Step Performance Grant Funds</t>
  </si>
  <si>
    <t>Total Department of Health &amp; Human Services</t>
  </si>
  <si>
    <t>TOTAL FEDERAL FINANCIAL ASSISTANCE</t>
  </si>
  <si>
    <t>Value of Federal Awards Expended in the form of Non-Cash Assistance during the year</t>
  </si>
  <si>
    <t>Federal Insurance in effect during the year</t>
  </si>
  <si>
    <t>Federal Loans or Loan Guarantees, Including interest subsidies, outstanding at year end</t>
  </si>
  <si>
    <t>Amounts provided to subrecipients</t>
  </si>
  <si>
    <t>4991-2019</t>
  </si>
  <si>
    <t>4991-2020</t>
  </si>
  <si>
    <t>4999-2020</t>
  </si>
  <si>
    <r>
      <t>The accompanying Schedule of Expenditures of Federal Awards includes the federal grant activity of Stevenson High School District No. 125 and is presented on the Modified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</si>
  <si>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Stevenson HS District No. 124 provided federal awards to subrecipients as follows:</t>
  </si>
  <si>
    <t>None</t>
  </si>
  <si>
    <r>
      <t xml:space="preserve">The following amounts were expended in the form of non-cash assistance by Stevenson HS 125 and </t>
    </r>
    <r>
      <rPr>
        <b/>
        <sz val="9"/>
        <rFont val="Calibri"/>
        <family val="2"/>
        <scheme val="minor"/>
      </rPr>
      <t>should be</t>
    </r>
    <r>
      <rPr>
        <sz val="9"/>
        <rFont val="Calibri"/>
        <family val="2"/>
        <scheme val="minor"/>
      </rPr>
      <t xml:space="preserve"> included in the Schedule of Expenditures of Federal Awards:</t>
    </r>
  </si>
  <si>
    <t>Unmodified</t>
  </si>
  <si>
    <t>NONE</t>
  </si>
  <si>
    <t>Northern Illinois Health Insurance Program</t>
  </si>
  <si>
    <t>Illinois Utilities Purchasing Cooperative</t>
  </si>
  <si>
    <t>Collective Liability Insurance Cooperative</t>
  </si>
  <si>
    <t>ISDLAF</t>
  </si>
  <si>
    <t>Exceptional Learners Collaborative</t>
  </si>
  <si>
    <t>Lake County Tech Campus</t>
  </si>
  <si>
    <t>Education Fund</t>
  </si>
  <si>
    <t>Page 5, Line 12, Other Current Assets, Due from Service Accounts - $293,250.</t>
  </si>
  <si>
    <t>Page 11, Line 107, Other Local Revenue, - Credit Card Rebates $18,846; Jury duty $313; Other Items $1,509</t>
  </si>
  <si>
    <t>Operations Fund</t>
  </si>
  <si>
    <t>Page 11, Line 107, Other Revenue - Power Enerwise rebate $44,443; Stevenson foundation Rebate $15,000</t>
  </si>
  <si>
    <t>Page 12, Line 168, Other Restricted Revenue from State Sources - Orphane Tuitions $716,425; USAC E-Rate $52,216.</t>
  </si>
  <si>
    <t>Page 16, Line 56, Other Support Services School Administration - Principals Office support staff and expenses - $583,226</t>
  </si>
  <si>
    <t>IMRF Fund</t>
  </si>
  <si>
    <t>Page 20, Line 260, Other Support Services - School Administration - Principal's Office Support Staff  IMRF Costs $54,200.</t>
  </si>
  <si>
    <t>First Student</t>
  </si>
  <si>
    <t>OM-Operation and Maintenance of Plant Services-PS</t>
  </si>
  <si>
    <t>Sodexo (Building Contract)</t>
  </si>
  <si>
    <t>ED-Food Service-Purchased Services</t>
  </si>
  <si>
    <t>TR-Pupil Transportation Services-Purchased Services</t>
  </si>
  <si>
    <t>Sodexo (Food Service)</t>
  </si>
  <si>
    <t>ED-Instruction-Purchased Services</t>
  </si>
  <si>
    <t>Rebound Fitness &amp; Rehab</t>
  </si>
  <si>
    <t>066-003289</t>
  </si>
  <si>
    <t xml:space="preserve"> Adlai E Stevenson Dist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</si>
</sst>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75" fillId="0" borderId="0" xfId="0"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749877</xdr:colOff>
          <xdr:row>3</xdr:row>
          <xdr:rowOff>45893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1997</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2042</v>
      </c>
      <c r="C5" s="26" t="s">
        <v>903</v>
      </c>
      <c r="D5" s="81"/>
      <c r="E5" s="81"/>
      <c r="H5" s="38"/>
      <c r="I5" s="2126" t="s">
        <v>675</v>
      </c>
      <c r="J5" s="2071"/>
      <c r="K5" s="2071"/>
      <c r="L5" s="2071"/>
      <c r="M5" s="2071"/>
      <c r="N5" s="2071"/>
      <c r="O5" s="2071"/>
      <c r="P5" s="2071"/>
      <c r="Q5" s="2071"/>
      <c r="R5" s="2071"/>
      <c r="S5" s="2071"/>
      <c r="AF5" s="1827"/>
    </row>
    <row r="6" spans="1:32" ht="14.1" customHeight="1" x14ac:dyDescent="0.2">
      <c r="B6" s="101"/>
      <c r="C6" s="26" t="s">
        <v>904</v>
      </c>
      <c r="D6" s="81"/>
      <c r="E6" s="81"/>
      <c r="I6" s="2125" t="s">
        <v>876</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948</v>
      </c>
      <c r="B11" s="2080"/>
      <c r="C11" s="2080"/>
      <c r="D11" s="2080"/>
      <c r="E11" s="2080"/>
      <c r="F11" s="2080"/>
      <c r="G11" s="2080"/>
      <c r="H11" s="2081"/>
      <c r="I11" s="27"/>
      <c r="J11" s="71"/>
      <c r="K11" s="27"/>
      <c r="O11" s="144" t="s">
        <v>2042</v>
      </c>
      <c r="P11" s="97" t="s">
        <v>199</v>
      </c>
      <c r="Q11" s="30"/>
      <c r="R11" s="28"/>
      <c r="S11" s="27"/>
      <c r="T11" s="2073"/>
      <c r="U11" s="2074"/>
      <c r="V11" s="2074"/>
      <c r="W11" s="2074"/>
      <c r="X11" s="2074"/>
      <c r="Y11" s="2074"/>
      <c r="Z11" s="2074"/>
      <c r="AA11" s="2075"/>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34049125013</v>
      </c>
      <c r="B13" s="2088"/>
      <c r="C13" s="2088"/>
      <c r="D13" s="2088"/>
      <c r="E13" s="2088"/>
      <c r="F13" s="2088"/>
      <c r="G13" s="2088"/>
      <c r="H13" s="2089"/>
      <c r="I13" s="31"/>
      <c r="J13" s="30"/>
      <c r="K13" s="28"/>
      <c r="L13" s="30"/>
      <c r="M13" s="30"/>
      <c r="N13" s="30"/>
      <c r="O13" s="30"/>
      <c r="P13" s="30"/>
      <c r="Q13" s="30"/>
      <c r="R13" s="30"/>
      <c r="S13" s="30"/>
      <c r="T13" s="2092" t="s">
        <v>2048</v>
      </c>
      <c r="U13" s="2093"/>
      <c r="V13" s="2093"/>
      <c r="W13" s="2093"/>
      <c r="X13" s="2093"/>
      <c r="Y13" s="2094"/>
      <c r="Z13" s="2094"/>
      <c r="AA13" s="2095"/>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5" t="s">
        <v>2043</v>
      </c>
      <c r="B15" s="2090"/>
      <c r="C15" s="2090"/>
      <c r="D15" s="2090"/>
      <c r="E15" s="2090"/>
      <c r="F15" s="2090"/>
      <c r="G15" s="2090"/>
      <c r="H15" s="2091"/>
      <c r="T15" s="2053" t="s">
        <v>2049</v>
      </c>
      <c r="U15" s="2054"/>
      <c r="V15" s="2054"/>
      <c r="W15" s="2054"/>
      <c r="X15" s="2054"/>
      <c r="Y15" s="2096"/>
      <c r="Z15" s="2096"/>
      <c r="AA15" s="209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2133</v>
      </c>
      <c r="B17" s="2115"/>
      <c r="C17" s="2115"/>
      <c r="D17" s="2115"/>
      <c r="E17" s="2115"/>
      <c r="F17" s="2115"/>
      <c r="G17" s="2115"/>
      <c r="H17" s="2116"/>
      <c r="T17" s="2102" t="s">
        <v>2050</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705</v>
      </c>
      <c r="U18" s="48"/>
      <c r="V18" s="69"/>
      <c r="W18" s="47"/>
      <c r="X18" s="82" t="s">
        <v>264</v>
      </c>
      <c r="Y18" s="78"/>
      <c r="Z18" s="154" t="s">
        <v>672</v>
      </c>
      <c r="AA18" s="44"/>
    </row>
    <row r="19" spans="1:27" ht="13.5" customHeight="1" x14ac:dyDescent="0.2">
      <c r="A19" s="2085" t="s">
        <v>2044</v>
      </c>
      <c r="B19" s="2086"/>
      <c r="C19" s="2086"/>
      <c r="D19" s="2086"/>
      <c r="E19" s="2086"/>
      <c r="F19" s="2086"/>
      <c r="G19" s="2086"/>
      <c r="H19" s="2084"/>
      <c r="I19" s="30"/>
      <c r="J19" s="96"/>
      <c r="K19" s="40"/>
      <c r="L19" s="38"/>
      <c r="M19" s="109" t="s">
        <v>312</v>
      </c>
      <c r="P19" s="27"/>
      <c r="Q19" s="27"/>
      <c r="R19" s="27"/>
      <c r="S19" s="31"/>
      <c r="T19" s="2085" t="s">
        <v>2051</v>
      </c>
      <c r="U19" s="2083"/>
      <c r="V19" s="2083"/>
      <c r="W19" s="2084"/>
      <c r="X19" s="2100" t="s">
        <v>2052</v>
      </c>
      <c r="Y19" s="2101"/>
      <c r="Z19" s="2098">
        <v>60087</v>
      </c>
      <c r="AA19" s="2099"/>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82" t="s">
        <v>2045</v>
      </c>
      <c r="B21" s="2083"/>
      <c r="C21" s="2083"/>
      <c r="D21" s="2083"/>
      <c r="E21" s="2083"/>
      <c r="F21" s="2083"/>
      <c r="G21" s="2083"/>
      <c r="H21" s="2084"/>
      <c r="I21" s="2108" t="s">
        <v>673</v>
      </c>
      <c r="J21" s="2071"/>
      <c r="K21" s="2071"/>
      <c r="L21" s="2071"/>
      <c r="M21" s="2071"/>
      <c r="N21" s="2071"/>
      <c r="O21" s="2071"/>
      <c r="P21" s="2071"/>
      <c r="Q21" s="2071"/>
      <c r="R21" s="2071"/>
      <c r="S21" s="2072"/>
      <c r="T21" s="2050" t="s">
        <v>2053</v>
      </c>
      <c r="U21" s="2051"/>
      <c r="V21" s="2051"/>
      <c r="W21" s="2051"/>
      <c r="X21" s="2064" t="s">
        <v>2054</v>
      </c>
      <c r="Y21" s="2065"/>
      <c r="Z21" s="2065"/>
      <c r="AA21" s="2066"/>
    </row>
    <row r="22" spans="1:27" ht="13.5" customHeight="1" x14ac:dyDescent="0.2">
      <c r="A22" s="84" t="s">
        <v>528</v>
      </c>
      <c r="B22" s="56"/>
      <c r="C22" s="56"/>
      <c r="D22" s="56"/>
      <c r="E22" s="56"/>
      <c r="F22" s="56"/>
      <c r="G22" s="56"/>
      <c r="H22" s="57"/>
      <c r="I22" s="2109" t="s">
        <v>1409</v>
      </c>
      <c r="J22" s="2110"/>
      <c r="K22" s="2110"/>
      <c r="L22" s="2110"/>
      <c r="M22" s="2110"/>
      <c r="N22" s="2110"/>
      <c r="O22" s="2110"/>
      <c r="P22" s="2110"/>
      <c r="Q22" s="2110"/>
      <c r="R22" s="2110"/>
      <c r="S22" s="2111"/>
      <c r="T22" s="82" t="s">
        <v>1496</v>
      </c>
      <c r="U22" s="48"/>
      <c r="V22" s="69"/>
      <c r="W22" s="48"/>
      <c r="X22" s="155" t="s">
        <v>1306</v>
      </c>
      <c r="Z22" s="43"/>
      <c r="AA22" s="44"/>
    </row>
    <row r="23" spans="1:27" ht="13.5" customHeight="1" x14ac:dyDescent="0.2">
      <c r="A23" s="2105"/>
      <c r="B23" s="2106"/>
      <c r="C23" s="2106"/>
      <c r="D23" s="2106"/>
      <c r="E23" s="2106"/>
      <c r="F23" s="2106"/>
      <c r="G23" s="2106"/>
      <c r="H23" s="2107"/>
      <c r="T23" s="2045" t="s">
        <v>2132</v>
      </c>
      <c r="U23" s="2046"/>
      <c r="V23" s="2046"/>
      <c r="W23" s="2046"/>
      <c r="X23" s="2061">
        <v>44530</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60069</v>
      </c>
      <c r="B25" s="2083"/>
      <c r="C25" s="2083"/>
      <c r="D25" s="2083"/>
      <c r="E25" s="2083"/>
      <c r="F25" s="2083"/>
      <c r="G25" s="2083"/>
      <c r="H25" s="2084"/>
      <c r="I25" s="110"/>
      <c r="J25" s="2149"/>
      <c r="K25" s="2149"/>
      <c r="L25" s="2149"/>
      <c r="M25" s="2149"/>
      <c r="N25" s="2149"/>
      <c r="O25" s="2149"/>
      <c r="P25" s="2149"/>
      <c r="Q25" s="2149"/>
      <c r="R25" s="2149"/>
      <c r="S25" s="2150"/>
      <c r="T25" s="2042" t="s">
        <v>2055</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0" t="s">
        <v>1491</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144" t="s">
        <v>2042</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t="s">
        <v>2042</v>
      </c>
      <c r="C30" s="121" t="s">
        <v>1153</v>
      </c>
      <c r="D30" s="28"/>
      <c r="E30" s="28"/>
      <c r="F30" s="136"/>
      <c r="G30" s="111"/>
      <c r="H30" s="111"/>
      <c r="I30" s="51"/>
      <c r="J30" s="144" t="s">
        <v>2042</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2042</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2046</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1" t="s">
        <v>2047</v>
      </c>
      <c r="B42" s="2132"/>
      <c r="C42" s="2133"/>
      <c r="D42" s="2146"/>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nfmOO0NsWGSALEPYlQVNknjGxgDgaIz1ppsBKcRH3JGqFi5dbqmRMq+yn4TZ/Rdw4NgV8YL26yNeQxjcD6w12A==" saltValue="EFT17Wn+rN7xJb7HS3JTN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6" sqref="E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1773</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1144</v>
      </c>
      <c r="B4" s="1721">
        <f>'Revenues 9-14'!C5</f>
        <v>60906391</v>
      </c>
      <c r="C4" s="1722">
        <v>27430271</v>
      </c>
      <c r="D4" s="1723">
        <f>B4-C4</f>
        <v>33476120</v>
      </c>
      <c r="E4" s="1722">
        <v>66129620</v>
      </c>
      <c r="F4" s="1723">
        <f>E4-C4</f>
        <v>38699349</v>
      </c>
    </row>
    <row r="5" spans="1:8" ht="13.7" customHeight="1" x14ac:dyDescent="0.2">
      <c r="A5" s="579" t="s">
        <v>864</v>
      </c>
      <c r="B5" s="1724">
        <f>'Revenues 9-14'!D5</f>
        <v>17851102</v>
      </c>
      <c r="C5" s="1664">
        <v>8297112</v>
      </c>
      <c r="D5" s="1725">
        <f t="shared" ref="D5:D18" si="0">B5-C5</f>
        <v>9553990</v>
      </c>
      <c r="E5" s="1664">
        <v>20000009</v>
      </c>
      <c r="F5" s="1725">
        <f>E5-C5</f>
        <v>11702897</v>
      </c>
    </row>
    <row r="6" spans="1:8" ht="13.7" customHeight="1" x14ac:dyDescent="0.2">
      <c r="A6" s="579" t="s">
        <v>408</v>
      </c>
      <c r="B6" s="1724">
        <f>'Revenues 9-14'!E5</f>
        <v>4528552</v>
      </c>
      <c r="C6" s="1664">
        <v>2049822</v>
      </c>
      <c r="D6" s="1725">
        <f t="shared" si="0"/>
        <v>2478730</v>
      </c>
      <c r="E6" s="1664">
        <v>4947158</v>
      </c>
      <c r="F6" s="1725">
        <f t="shared" ref="F6:F18" si="1">E6-C6</f>
        <v>2897336</v>
      </c>
    </row>
    <row r="7" spans="1:8" ht="13.7" customHeight="1" x14ac:dyDescent="0.2">
      <c r="A7" s="579" t="s">
        <v>154</v>
      </c>
      <c r="B7" s="1724">
        <f>'Revenues 9-14'!F5</f>
        <v>4823462</v>
      </c>
      <c r="C7" s="1664">
        <v>2281039</v>
      </c>
      <c r="D7" s="1725">
        <f t="shared" si="0"/>
        <v>2542423</v>
      </c>
      <c r="E7" s="1664">
        <v>5500016</v>
      </c>
      <c r="F7" s="1725">
        <f t="shared" si="1"/>
        <v>3218977</v>
      </c>
    </row>
    <row r="8" spans="1:8" ht="13.7" customHeight="1" x14ac:dyDescent="0.2">
      <c r="A8" s="579" t="s">
        <v>1168</v>
      </c>
      <c r="B8" s="1724">
        <f>'Revenues 9-14'!G5</f>
        <v>1601558</v>
      </c>
      <c r="C8" s="1664">
        <v>747007</v>
      </c>
      <c r="D8" s="1725">
        <f t="shared" si="0"/>
        <v>854551</v>
      </c>
      <c r="E8" s="1664">
        <v>1800025</v>
      </c>
      <c r="F8" s="1725">
        <f t="shared" si="1"/>
        <v>1053018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463757</v>
      </c>
      <c r="C10" s="1664">
        <v>208984</v>
      </c>
      <c r="D10" s="1725">
        <f t="shared" si="0"/>
        <v>254773</v>
      </c>
      <c r="E10" s="1664">
        <v>500032</v>
      </c>
      <c r="F10" s="1725">
        <f t="shared" si="1"/>
        <v>291048</v>
      </c>
    </row>
    <row r="11" spans="1:8" x14ac:dyDescent="0.2">
      <c r="A11" s="579" t="s">
        <v>406</v>
      </c>
      <c r="B11" s="1724">
        <f>'Revenues 9-14'!J5</f>
        <v>14201</v>
      </c>
      <c r="C11" s="1664">
        <v>8893</v>
      </c>
      <c r="D11" s="1725">
        <f t="shared" si="0"/>
        <v>5308</v>
      </c>
      <c r="E11" s="1664">
        <v>25013</v>
      </c>
      <c r="F11" s="1725">
        <f t="shared" si="1"/>
        <v>16120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929</v>
      </c>
      <c r="B13" s="1724">
        <f>SUM('Revenues 9-14'!C6:D6)</f>
        <v>0</v>
      </c>
      <c r="C13" s="1664"/>
      <c r="D13" s="1725">
        <f t="shared" si="0"/>
        <v>0</v>
      </c>
      <c r="E13" s="1664"/>
      <c r="F13" s="1725">
        <f t="shared" si="1"/>
        <v>0</v>
      </c>
    </row>
    <row r="14" spans="1:8" ht="13.7" customHeight="1" x14ac:dyDescent="0.2">
      <c r="A14" s="579" t="s">
        <v>407</v>
      </c>
      <c r="B14" s="1724">
        <f>SUM('Revenues 9-14'!C7:D7,'Revenues 9-14'!F7:H7)</f>
        <v>6204979</v>
      </c>
      <c r="C14" s="1664">
        <v>2903545</v>
      </c>
      <c r="D14" s="1725">
        <f t="shared" si="0"/>
        <v>3301434</v>
      </c>
      <c r="E14" s="1664">
        <v>7000037</v>
      </c>
      <c r="F14" s="1725">
        <f t="shared" si="1"/>
        <v>4096492</v>
      </c>
    </row>
    <row r="15" spans="1:8" ht="13.7" customHeight="1" x14ac:dyDescent="0.2">
      <c r="A15" s="579" t="s">
        <v>1147</v>
      </c>
      <c r="B15" s="1724">
        <f>SUM('Revenues 9-14'!D9:E9,'Revenues 9-14'!H9)</f>
        <v>0</v>
      </c>
      <c r="C15" s="1664"/>
      <c r="D15" s="1725">
        <f t="shared" si="0"/>
        <v>0</v>
      </c>
      <c r="E15" s="1664"/>
      <c r="F15" s="1725">
        <f t="shared" si="1"/>
        <v>0</v>
      </c>
    </row>
    <row r="16" spans="1:8" ht="13.7" customHeight="1" x14ac:dyDescent="0.2">
      <c r="A16" s="579" t="s">
        <v>1148</v>
      </c>
      <c r="B16" s="1724">
        <f>'Revenues 9-14'!G8</f>
        <v>1148417</v>
      </c>
      <c r="C16" s="1664">
        <v>538024</v>
      </c>
      <c r="D16" s="1725">
        <f t="shared" si="0"/>
        <v>610393</v>
      </c>
      <c r="E16" s="1664">
        <v>1300031</v>
      </c>
      <c r="F16" s="1725">
        <f t="shared" si="1"/>
        <v>762007</v>
      </c>
    </row>
    <row r="17" spans="1:6" ht="13.7" customHeight="1" x14ac:dyDescent="0.2">
      <c r="A17" s="579" t="s">
        <v>1149</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1150</v>
      </c>
      <c r="B19" s="1726">
        <f>SUM(B4:B18)</f>
        <v>97542419</v>
      </c>
      <c r="C19" s="1726">
        <f>SUM(C4:C18)</f>
        <v>44464697</v>
      </c>
      <c r="D19" s="1726">
        <f>SUM(D4:D18)</f>
        <v>53077722</v>
      </c>
      <c r="E19" s="1726">
        <f>SUM(E4:E18)</f>
        <v>107201941</v>
      </c>
      <c r="F19" s="1726">
        <f>SUM(F4:F18)</f>
        <v>62737244</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5" colorId="8" zoomScale="110" zoomScaleNormal="110" workbookViewId="0">
      <selection activeCell="J36" sqref="J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1773</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1103</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1100</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1101</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1102</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2000</v>
      </c>
      <c r="B24" s="2292"/>
      <c r="C24" s="2300"/>
      <c r="D24" s="2301"/>
      <c r="E24" s="2301"/>
      <c r="F24" s="2302"/>
    </row>
    <row r="25" spans="1:11" ht="13.5" thickBot="1" x14ac:dyDescent="0.25">
      <c r="A25" s="2306" t="s">
        <v>2001</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1060</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1061</v>
      </c>
      <c r="B30" s="592" t="s">
        <v>1113</v>
      </c>
      <c r="C30" s="592" t="s">
        <v>579</v>
      </c>
      <c r="D30" s="592" t="s">
        <v>1651</v>
      </c>
      <c r="E30" s="1845" t="str">
        <f>"Outstanding        Beginning July 1, "&amp;'AFR20'!$E$2-1</f>
        <v>Outstanding        Beginning July 1, 2019</v>
      </c>
      <c r="F30" s="1845" t="str">
        <f>"Issued                                        July 1, "&amp;'AFR20'!$E$2-1&amp;" thru           June 30, "&amp;'AFR20'!$E$2</f>
        <v>Issued                                        July 1, 2019 thru           June 30, 2020</v>
      </c>
      <c r="G30" s="592" t="s">
        <v>1871</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2056</v>
      </c>
      <c r="B31" s="595">
        <v>41699</v>
      </c>
      <c r="C31" s="1734">
        <v>25000000</v>
      </c>
      <c r="D31" s="1735">
        <v>1</v>
      </c>
      <c r="E31" s="1734">
        <v>20360000</v>
      </c>
      <c r="F31" s="1734"/>
      <c r="G31" s="1734"/>
      <c r="H31" s="1734">
        <v>3680000</v>
      </c>
      <c r="I31" s="1736">
        <f>((E31+F31)-H31)+G31</f>
        <v>16680000</v>
      </c>
      <c r="J31" s="1734">
        <v>13313635</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2057</v>
      </c>
      <c r="B33" s="595">
        <v>43159</v>
      </c>
      <c r="C33" s="1734">
        <v>24385000</v>
      </c>
      <c r="D33" s="1735">
        <v>1</v>
      </c>
      <c r="E33" s="1734">
        <v>24385000</v>
      </c>
      <c r="F33" s="1734"/>
      <c r="G33" s="1734"/>
      <c r="H33" s="1734"/>
      <c r="I33" s="1736">
        <f t="shared" ref="I33:I48" si="1">((E33+F33)-H33)+G33</f>
        <v>24385000</v>
      </c>
      <c r="J33" s="1734">
        <v>24217797</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2058</v>
      </c>
      <c r="B35" s="595" t="s">
        <v>2059</v>
      </c>
      <c r="C35" s="1737"/>
      <c r="D35" s="1735">
        <v>7</v>
      </c>
      <c r="E35" s="1737">
        <v>149385</v>
      </c>
      <c r="F35" s="1737"/>
      <c r="G35" s="1737">
        <v>109611</v>
      </c>
      <c r="H35" s="1737">
        <v>105549</v>
      </c>
      <c r="I35" s="1736">
        <f t="shared" si="1"/>
        <v>153447</v>
      </c>
      <c r="J35" s="1737">
        <v>153447</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49385000</v>
      </c>
      <c r="D49" s="1742"/>
      <c r="E49" s="1736">
        <f t="shared" ref="E49:J49" si="2">SUM(E31:E48)</f>
        <v>44894385</v>
      </c>
      <c r="F49" s="1736">
        <f t="shared" si="2"/>
        <v>0</v>
      </c>
      <c r="G49" s="1736">
        <f t="shared" si="2"/>
        <v>109611</v>
      </c>
      <c r="H49" s="1736">
        <f t="shared" si="2"/>
        <v>3785549</v>
      </c>
      <c r="I49" s="1736">
        <f t="shared" si="2"/>
        <v>41218447</v>
      </c>
      <c r="J49" s="1736">
        <f t="shared" si="2"/>
        <v>37684879</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310" t="s">
        <v>580</v>
      </c>
      <c r="C52" s="2311"/>
      <c r="D52" s="2311"/>
      <c r="E52" s="603" t="s">
        <v>839</v>
      </c>
      <c r="F52" s="2312" t="s">
        <v>2058</v>
      </c>
      <c r="G52" s="2313"/>
      <c r="H52" s="596"/>
      <c r="I52" s="596"/>
      <c r="J52" s="600"/>
    </row>
    <row r="53" spans="1:11" ht="11.25" customHeight="1" x14ac:dyDescent="0.2">
      <c r="A53" s="604" t="s">
        <v>906</v>
      </c>
      <c r="B53" s="605" t="s">
        <v>944</v>
      </c>
      <c r="C53" s="600"/>
      <c r="D53" s="597"/>
      <c r="E53" s="603" t="s">
        <v>494</v>
      </c>
      <c r="F53" s="2314"/>
      <c r="G53" s="2315"/>
      <c r="H53" s="596"/>
      <c r="I53" s="596"/>
      <c r="J53" s="600"/>
    </row>
    <row r="54" spans="1:11" ht="11.25" customHeight="1" x14ac:dyDescent="0.2">
      <c r="A54" s="606" t="s">
        <v>907</v>
      </c>
      <c r="B54" s="601" t="s">
        <v>945</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850</v>
      </c>
      <c r="B1" s="2347"/>
      <c r="C1" s="2347"/>
      <c r="D1" s="2347"/>
      <c r="E1" s="2347"/>
      <c r="F1" s="2347"/>
      <c r="G1" s="2348"/>
      <c r="H1" s="1298"/>
      <c r="I1" s="614"/>
      <c r="J1" s="400"/>
    </row>
    <row r="2" spans="1:11" ht="26.25" x14ac:dyDescent="0.2">
      <c r="A2" s="2323" t="s">
        <v>1655</v>
      </c>
      <c r="B2" s="2324"/>
      <c r="C2" s="2324"/>
      <c r="D2" s="2324"/>
      <c r="E2" s="2325"/>
      <c r="F2" s="615" t="s">
        <v>897</v>
      </c>
      <c r="G2" s="616" t="s">
        <v>1652</v>
      </c>
      <c r="H2" s="616" t="s">
        <v>407</v>
      </c>
      <c r="I2" s="616" t="s">
        <v>1147</v>
      </c>
      <c r="J2" s="616" t="s">
        <v>1783</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c r="K3" s="1745"/>
    </row>
    <row r="4" spans="1:11" x14ac:dyDescent="0.2">
      <c r="A4" s="2329" t="s">
        <v>366</v>
      </c>
      <c r="B4" s="2330"/>
      <c r="C4" s="2330"/>
      <c r="D4" s="2330"/>
      <c r="E4" s="2311"/>
      <c r="F4" s="620"/>
      <c r="G4" s="1746"/>
      <c r="H4" s="1747"/>
      <c r="I4" s="1746"/>
      <c r="J4" s="1748"/>
      <c r="K4" s="1748"/>
    </row>
    <row r="5" spans="1:11" x14ac:dyDescent="0.2">
      <c r="A5" s="2349" t="s">
        <v>1059</v>
      </c>
      <c r="B5" s="2320"/>
      <c r="C5" s="2320"/>
      <c r="D5" s="2320"/>
      <c r="E5" s="2350"/>
      <c r="F5" s="622" t="s">
        <v>842</v>
      </c>
      <c r="G5" s="1749"/>
      <c r="H5" s="1744">
        <v>6204979</v>
      </c>
      <c r="I5" s="1750"/>
      <c r="J5" s="1751"/>
      <c r="K5" s="1751"/>
    </row>
    <row r="6" spans="1:11" x14ac:dyDescent="0.2">
      <c r="A6" s="625" t="s">
        <v>714</v>
      </c>
      <c r="B6" s="626"/>
      <c r="C6" s="626"/>
      <c r="D6" s="626"/>
      <c r="E6" s="627"/>
      <c r="F6" s="628" t="s">
        <v>843</v>
      </c>
      <c r="G6" s="1744"/>
      <c r="H6" s="1744"/>
      <c r="I6" s="1744"/>
      <c r="J6" s="1745"/>
      <c r="K6" s="1745"/>
    </row>
    <row r="7" spans="1:11" x14ac:dyDescent="0.2">
      <c r="A7" s="629" t="s">
        <v>244</v>
      </c>
      <c r="B7" s="630"/>
      <c r="C7" s="630"/>
      <c r="D7" s="630"/>
      <c r="E7" s="631"/>
      <c r="F7" s="622" t="s">
        <v>844</v>
      </c>
      <c r="G7" s="1746"/>
      <c r="H7" s="1746"/>
      <c r="I7" s="1746"/>
      <c r="J7" s="1752"/>
      <c r="K7" s="1745"/>
    </row>
    <row r="8" spans="1:11" x14ac:dyDescent="0.2">
      <c r="A8" s="629" t="s">
        <v>342</v>
      </c>
      <c r="B8" s="630"/>
      <c r="C8" s="630"/>
      <c r="D8" s="630"/>
      <c r="E8" s="631"/>
      <c r="F8" s="622" t="s">
        <v>845</v>
      </c>
      <c r="G8" s="1753"/>
      <c r="H8" s="1753"/>
      <c r="I8" s="1753"/>
      <c r="J8" s="1745"/>
      <c r="K8" s="1748"/>
    </row>
    <row r="9" spans="1:11" x14ac:dyDescent="0.2">
      <c r="A9" s="629" t="s">
        <v>137</v>
      </c>
      <c r="B9" s="630"/>
      <c r="C9" s="630"/>
      <c r="D9" s="630"/>
      <c r="E9" s="631"/>
      <c r="F9" s="628" t="s">
        <v>847</v>
      </c>
      <c r="G9" s="1753"/>
      <c r="H9" s="1749"/>
      <c r="I9" s="1749"/>
      <c r="J9" s="1752"/>
      <c r="K9" s="1745"/>
    </row>
    <row r="10" spans="1:11" x14ac:dyDescent="0.2">
      <c r="A10" s="2349" t="s">
        <v>1784</v>
      </c>
      <c r="B10" s="2320"/>
      <c r="C10" s="2320"/>
      <c r="D10" s="2320"/>
      <c r="E10" s="2351"/>
      <c r="F10" s="633" t="s">
        <v>856</v>
      </c>
      <c r="G10" s="1753"/>
      <c r="H10" s="1754"/>
      <c r="I10" s="1744"/>
      <c r="J10" s="1745"/>
      <c r="K10" s="1745"/>
    </row>
    <row r="11" spans="1:11" x14ac:dyDescent="0.2">
      <c r="A11" s="2349" t="s">
        <v>159</v>
      </c>
      <c r="B11" s="2320"/>
      <c r="C11" s="2320"/>
      <c r="D11" s="2320"/>
      <c r="E11" s="2350"/>
      <c r="F11" s="622" t="s">
        <v>846</v>
      </c>
      <c r="G11" s="1749"/>
      <c r="H11" s="1744"/>
      <c r="I11" s="1744"/>
      <c r="J11" s="1745"/>
      <c r="K11" s="1751"/>
    </row>
    <row r="12" spans="1:11" ht="13.5" thickBot="1" x14ac:dyDescent="0.25">
      <c r="A12" s="2337" t="s">
        <v>898</v>
      </c>
      <c r="B12" s="2338"/>
      <c r="C12" s="2338"/>
      <c r="D12" s="2338"/>
      <c r="E12" s="2339"/>
      <c r="F12" s="1433"/>
      <c r="G12" s="1755">
        <f>SUM(G5:G11)</f>
        <v>0</v>
      </c>
      <c r="H12" s="1755">
        <f>SUM(H5:H11)</f>
        <v>6204979</v>
      </c>
      <c r="I12" s="1755">
        <f>SUM(I5:I11)</f>
        <v>0</v>
      </c>
      <c r="J12" s="1755">
        <f>SUM(J5:J11)</f>
        <v>0</v>
      </c>
      <c r="K12" s="1755">
        <f>SUM(K5:K11)</f>
        <v>0</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848</v>
      </c>
      <c r="G14" s="1753"/>
      <c r="H14" s="1744">
        <v>6204979</v>
      </c>
      <c r="I14" s="1749"/>
      <c r="J14" s="1751"/>
      <c r="K14" s="1745"/>
    </row>
    <row r="15" spans="1:11" x14ac:dyDescent="0.2">
      <c r="A15" s="2320" t="s">
        <v>4</v>
      </c>
      <c r="B15" s="2320"/>
      <c r="C15" s="2320"/>
      <c r="D15" s="2320"/>
      <c r="E15" s="2350"/>
      <c r="F15" s="635" t="s">
        <v>849</v>
      </c>
      <c r="G15" s="1749"/>
      <c r="H15" s="1744"/>
      <c r="I15" s="1744"/>
      <c r="J15" s="1745"/>
      <c r="K15" s="1745"/>
    </row>
    <row r="16" spans="1:11" x14ac:dyDescent="0.2">
      <c r="A16" s="2320" t="s">
        <v>295</v>
      </c>
      <c r="B16" s="2320"/>
      <c r="C16" s="2320"/>
      <c r="D16" s="2320"/>
      <c r="E16" s="2350"/>
      <c r="F16" s="635" t="s">
        <v>916</v>
      </c>
      <c r="G16" s="1750"/>
      <c r="H16" s="1746"/>
      <c r="I16" s="1746"/>
      <c r="J16" s="1748"/>
      <c r="K16" s="1748"/>
    </row>
    <row r="17" spans="1:15" x14ac:dyDescent="0.2">
      <c r="A17" s="2344" t="s">
        <v>928</v>
      </c>
      <c r="B17" s="2344"/>
      <c r="C17" s="2344"/>
      <c r="D17" s="2344"/>
      <c r="E17" s="2345"/>
      <c r="F17" s="636"/>
      <c r="G17" s="1759"/>
      <c r="H17" s="1760"/>
      <c r="I17" s="1760"/>
      <c r="J17" s="1761"/>
      <c r="K17" s="1762"/>
    </row>
    <row r="18" spans="1:15" x14ac:dyDescent="0.2">
      <c r="A18" s="2334" t="s">
        <v>365</v>
      </c>
      <c r="B18" s="2335"/>
      <c r="C18" s="2335"/>
      <c r="D18" s="2335"/>
      <c r="E18" s="2336"/>
      <c r="F18" s="635" t="s">
        <v>925</v>
      </c>
      <c r="G18" s="1753"/>
      <c r="H18" s="1753"/>
      <c r="I18" s="1753"/>
      <c r="J18" s="1745"/>
      <c r="K18" s="1763"/>
    </row>
    <row r="19" spans="1:15" ht="21.75" customHeight="1" x14ac:dyDescent="0.2">
      <c r="A19" s="2357" t="s">
        <v>1780</v>
      </c>
      <c r="B19" s="2357"/>
      <c r="C19" s="2357"/>
      <c r="D19" s="2357"/>
      <c r="E19" s="2358"/>
      <c r="F19" s="635" t="s">
        <v>926</v>
      </c>
      <c r="G19" s="1753"/>
      <c r="H19" s="1753"/>
      <c r="I19" s="1753"/>
      <c r="J19" s="1745"/>
      <c r="K19" s="1763"/>
    </row>
    <row r="20" spans="1:15" x14ac:dyDescent="0.2">
      <c r="A20" s="2334" t="s">
        <v>1785</v>
      </c>
      <c r="B20" s="2335"/>
      <c r="C20" s="2335"/>
      <c r="D20" s="2335"/>
      <c r="E20" s="2336"/>
      <c r="F20" s="635" t="s">
        <v>927</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1786</v>
      </c>
      <c r="B22" s="2320"/>
      <c r="C22" s="2320"/>
      <c r="D22" s="2320"/>
      <c r="E22" s="2350"/>
      <c r="F22" s="635" t="s">
        <v>856</v>
      </c>
      <c r="G22" s="1753"/>
      <c r="H22" s="1744"/>
      <c r="I22" s="1744"/>
      <c r="J22" s="1766"/>
      <c r="K22" s="1745"/>
    </row>
    <row r="23" spans="1:15" ht="13.5" thickBot="1" x14ac:dyDescent="0.25">
      <c r="A23" s="2341" t="s">
        <v>899</v>
      </c>
      <c r="B23" s="2340"/>
      <c r="C23" s="2340"/>
      <c r="D23" s="2340"/>
      <c r="E23" s="2340"/>
      <c r="F23" s="1436"/>
      <c r="G23" s="1755">
        <f>SUM(G14:G16,G21,G22)</f>
        <v>0</v>
      </c>
      <c r="H23" s="1755">
        <f>SUM(H14:H16,H21,H22)</f>
        <v>6204979</v>
      </c>
      <c r="I23" s="1755">
        <f>SUM(I14:I16,I21,I22)</f>
        <v>0</v>
      </c>
      <c r="J23" s="1755">
        <f>SUM(J14:J16,J21,J22)</f>
        <v>0</v>
      </c>
      <c r="K23" s="1755">
        <f>SUM(K14:K16,K21,K22)</f>
        <v>0</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1870</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1158</v>
      </c>
      <c r="B33" s="341"/>
      <c r="C33" s="341"/>
      <c r="D33" s="341"/>
      <c r="E33" s="341"/>
      <c r="F33" s="341"/>
      <c r="G33" s="653"/>
      <c r="H33" s="2354"/>
      <c r="I33" s="2353"/>
      <c r="J33" s="2353"/>
      <c r="K33" s="2353"/>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0" t="s">
        <v>538</v>
      </c>
      <c r="B41" s="2321"/>
      <c r="C41" s="2321"/>
      <c r="D41" s="2321"/>
      <c r="E41" s="2321"/>
      <c r="F41" s="232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1781</v>
      </c>
      <c r="B46" s="382" t="s">
        <v>1653</v>
      </c>
    </row>
    <row r="47" spans="1:11" s="663" customFormat="1" ht="12.75" customHeight="1" x14ac:dyDescent="0.2">
      <c r="A47" s="661"/>
      <c r="B47" s="662" t="s">
        <v>1654</v>
      </c>
      <c r="E47" s="662"/>
      <c r="K47" s="664"/>
    </row>
    <row r="48" spans="1:11" ht="12.75" customHeight="1" x14ac:dyDescent="0.2">
      <c r="A48" s="1300"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1869</v>
      </c>
      <c r="B1" s="2362"/>
      <c r="C1" s="2363"/>
      <c r="D1" s="666"/>
      <c r="E1" s="667"/>
      <c r="F1" s="667"/>
      <c r="G1" s="668"/>
      <c r="H1" s="669"/>
      <c r="I1" s="670"/>
      <c r="J1" s="2359"/>
      <c r="K1" s="2360"/>
      <c r="L1" s="2360"/>
    </row>
    <row r="2" spans="1:14" ht="69.75" customHeight="1" x14ac:dyDescent="0.2">
      <c r="A2" s="671" t="s">
        <v>1656</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878405</v>
      </c>
      <c r="D5" s="1770"/>
      <c r="E5" s="1770"/>
      <c r="F5" s="1765">
        <f>(C5+D5)-E5</f>
        <v>878405</v>
      </c>
      <c r="G5" s="676"/>
      <c r="H5" s="680"/>
      <c r="I5" s="680"/>
      <c r="J5" s="680"/>
      <c r="K5" s="637"/>
      <c r="L5" s="1442">
        <f>F5-K5</f>
        <v>878405</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241916783</v>
      </c>
      <c r="D8" s="1771">
        <v>19602367</v>
      </c>
      <c r="E8" s="1771"/>
      <c r="F8" s="1765">
        <f>(C8+D8)-E8</f>
        <v>261519150</v>
      </c>
      <c r="G8" s="681">
        <v>50</v>
      </c>
      <c r="H8" s="619">
        <v>57111227</v>
      </c>
      <c r="I8" s="619">
        <v>4550584</v>
      </c>
      <c r="J8" s="619"/>
      <c r="K8" s="1442">
        <f>(H8+I8)-J8</f>
        <v>61661811</v>
      </c>
      <c r="L8" s="1442">
        <f>F8-K8</f>
        <v>199857339</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13109241</v>
      </c>
      <c r="D10" s="1772">
        <v>473306</v>
      </c>
      <c r="E10" s="1772"/>
      <c r="F10" s="1773">
        <f>(C10+D10)-E10</f>
        <v>13582547</v>
      </c>
      <c r="G10" s="681">
        <v>20</v>
      </c>
      <c r="H10" s="683">
        <v>9334398</v>
      </c>
      <c r="I10" s="683">
        <v>454792</v>
      </c>
      <c r="J10" s="683"/>
      <c r="K10" s="1442">
        <f>(H10+I10)-J10</f>
        <v>9789190</v>
      </c>
      <c r="L10" s="1442">
        <f>F10-K10</f>
        <v>3793357</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51573671</v>
      </c>
      <c r="D12" s="1771">
        <v>4175336</v>
      </c>
      <c r="E12" s="1771"/>
      <c r="F12" s="1765">
        <f>(C12+D12)-E12</f>
        <v>55749007</v>
      </c>
      <c r="G12" s="681">
        <v>10</v>
      </c>
      <c r="H12" s="619">
        <v>36885532</v>
      </c>
      <c r="I12" s="619">
        <v>3080517</v>
      </c>
      <c r="J12" s="619"/>
      <c r="K12" s="1442">
        <f>(H12+I12)-J12</f>
        <v>39966049</v>
      </c>
      <c r="L12" s="1442">
        <f>F12-K12</f>
        <v>15782958</v>
      </c>
    </row>
    <row r="13" spans="1:14" ht="14.25" thickTop="1" thickBot="1" x14ac:dyDescent="0.25">
      <c r="A13" s="684" t="s">
        <v>1111</v>
      </c>
      <c r="B13" s="679">
        <v>252</v>
      </c>
      <c r="C13" s="1771">
        <v>5956275</v>
      </c>
      <c r="D13" s="1771">
        <v>178489</v>
      </c>
      <c r="E13" s="1771"/>
      <c r="F13" s="1765">
        <f>(C13+D13)-E13</f>
        <v>6134764</v>
      </c>
      <c r="G13" s="681">
        <v>5</v>
      </c>
      <c r="H13" s="619">
        <v>5676643</v>
      </c>
      <c r="I13" s="619">
        <v>118208</v>
      </c>
      <c r="J13" s="619"/>
      <c r="K13" s="1442">
        <f>(H13+I13)-J13</f>
        <v>5794851</v>
      </c>
      <c r="L13" s="1442">
        <f>F13-K13</f>
        <v>339913</v>
      </c>
    </row>
    <row r="14" spans="1:14" ht="14.25" thickTop="1" thickBot="1" x14ac:dyDescent="0.25">
      <c r="A14" s="684" t="s">
        <v>1112</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856</v>
      </c>
      <c r="H15" s="632"/>
      <c r="I15" s="632"/>
      <c r="J15" s="632"/>
      <c r="K15" s="632"/>
      <c r="L15" s="1442">
        <f>F15-K15</f>
        <v>0</v>
      </c>
    </row>
    <row r="16" spans="1:14" ht="15" customHeight="1" thickTop="1" thickBot="1" x14ac:dyDescent="0.25">
      <c r="A16" s="1438" t="s">
        <v>638</v>
      </c>
      <c r="B16" s="1439">
        <v>200</v>
      </c>
      <c r="C16" s="1765">
        <f>SUM(C3,C5:C6,C8:C10,C12:C15)</f>
        <v>313434375</v>
      </c>
      <c r="D16" s="1765">
        <f>SUM(D3,D5:D6,D8:D10,D12:D15)</f>
        <v>24429498</v>
      </c>
      <c r="E16" s="1765">
        <f>SUM(E3,E5:E6,E8:E10,E12:E15)</f>
        <v>0</v>
      </c>
      <c r="F16" s="1765">
        <f>SUM(F3,F5:F6,F8:F10,F12:F15)</f>
        <v>337863873</v>
      </c>
      <c r="G16" s="681"/>
      <c r="H16" s="1435">
        <f>SUM(H3,H6,H8:H10,H12:H14,)</f>
        <v>109007800</v>
      </c>
      <c r="I16" s="1435">
        <f>SUM(I3,I6,I8:I10,I12:I14,)</f>
        <v>8204101</v>
      </c>
      <c r="J16" s="1435">
        <f>SUM(J3,J6,J8:J10,J12:J14,)</f>
        <v>0</v>
      </c>
      <c r="K16" s="1435">
        <f>(H16+I16)-J16</f>
        <v>117211901</v>
      </c>
      <c r="L16" s="1435">
        <f>F16-K16</f>
        <v>220651972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8204101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5"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3"/>
      <c r="B5" s="2374"/>
      <c r="C5" s="2374"/>
      <c r="D5" s="2374"/>
      <c r="E5" s="2374"/>
      <c r="F5" s="2374"/>
    </row>
    <row r="6" spans="1:9" ht="13.5" customHeight="1" thickBot="1" x14ac:dyDescent="0.25">
      <c r="A6" s="2364" t="s">
        <v>1094</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74">
        <f>'Expenditures 15-22'!K114</f>
        <v>90977440</v>
      </c>
      <c r="G8" s="701"/>
    </row>
    <row r="9" spans="1:9" x14ac:dyDescent="0.2">
      <c r="A9" s="705" t="s">
        <v>457</v>
      </c>
      <c r="B9" s="706" t="s">
        <v>1842</v>
      </c>
      <c r="C9" s="707"/>
      <c r="D9" s="705" t="s">
        <v>498</v>
      </c>
      <c r="E9" s="704"/>
      <c r="F9" s="1775">
        <f>'Expenditures 15-22'!K151</f>
        <v>30260433</v>
      </c>
      <c r="G9" s="708"/>
    </row>
    <row r="10" spans="1:9" x14ac:dyDescent="0.2">
      <c r="A10" s="705" t="s">
        <v>496</v>
      </c>
      <c r="B10" s="706" t="s">
        <v>1843</v>
      </c>
      <c r="C10" s="707"/>
      <c r="D10" s="705" t="s">
        <v>498</v>
      </c>
      <c r="E10" s="704"/>
      <c r="F10" s="1775">
        <f>'Expenditures 15-22'!K174</f>
        <v>4903485</v>
      </c>
      <c r="G10" s="708"/>
    </row>
    <row r="11" spans="1:9" x14ac:dyDescent="0.2">
      <c r="A11" s="705" t="s">
        <v>458</v>
      </c>
      <c r="B11" s="706" t="s">
        <v>1844</v>
      </c>
      <c r="C11" s="707"/>
      <c r="D11" s="705" t="s">
        <v>498</v>
      </c>
      <c r="E11" s="704"/>
      <c r="F11" s="1775">
        <f>'Expenditures 15-22'!K210</f>
        <v>5023678</v>
      </c>
      <c r="G11" s="708"/>
    </row>
    <row r="12" spans="1:9" x14ac:dyDescent="0.2">
      <c r="A12" s="705" t="s">
        <v>459</v>
      </c>
      <c r="B12" s="706" t="s">
        <v>1845</v>
      </c>
      <c r="C12" s="707"/>
      <c r="D12" s="705" t="s">
        <v>498</v>
      </c>
      <c r="E12" s="704"/>
      <c r="F12" s="1775">
        <f>'Expenditures 15-22'!K295</f>
        <v>3311865</v>
      </c>
      <c r="G12" s="708"/>
    </row>
    <row r="13" spans="1:9" x14ac:dyDescent="0.2">
      <c r="A13" s="705" t="s">
        <v>106</v>
      </c>
      <c r="B13" s="706" t="s">
        <v>1846</v>
      </c>
      <c r="C13" s="707"/>
      <c r="D13" s="705" t="s">
        <v>498</v>
      </c>
      <c r="E13" s="704"/>
      <c r="F13" s="1775">
        <f>'Expenditures 15-22'!K342</f>
        <v>370333</v>
      </c>
      <c r="G13" s="709"/>
    </row>
    <row r="14" spans="1:9" ht="12" customHeight="1" thickBot="1" x14ac:dyDescent="0.25">
      <c r="A14" s="1443"/>
      <c r="B14" s="1444"/>
      <c r="C14" s="1445"/>
      <c r="D14" s="1446" t="s">
        <v>498</v>
      </c>
      <c r="E14" s="1447" t="s">
        <v>951</v>
      </c>
      <c r="F14" s="1776">
        <f>SUM(F8:F13)</f>
        <v>134847234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458</v>
      </c>
      <c r="B19" s="706" t="s">
        <v>1003</v>
      </c>
      <c r="C19" s="713">
        <f>'Revenues 9-14'!B47</f>
        <v>1421</v>
      </c>
      <c r="D19" s="714" t="str">
        <f>'Revenues 9-14'!A47</f>
        <v>Summer Sch - Transp. Fees from Pupils or Parents (In State)</v>
      </c>
      <c r="E19" s="715"/>
      <c r="F19" s="1780">
        <f>'Revenues 9-14'!F47</f>
        <v>0</v>
      </c>
      <c r="G19" s="701"/>
    </row>
    <row r="20" spans="1:7" x14ac:dyDescent="0.2">
      <c r="A20" s="705" t="s">
        <v>458</v>
      </c>
      <c r="B20" s="706" t="s">
        <v>1004</v>
      </c>
      <c r="C20" s="711">
        <f>'Revenues 9-14'!B48</f>
        <v>1422</v>
      </c>
      <c r="D20" s="712" t="str">
        <f>'Revenues 9-14'!A48</f>
        <v>Summer Sch - Transp. Fees from Other Districts (In State)</v>
      </c>
      <c r="E20" s="704"/>
      <c r="F20" s="1781">
        <f>'Revenues 9-14'!F48</f>
        <v>0</v>
      </c>
      <c r="G20" s="701"/>
    </row>
    <row r="21" spans="1:7" x14ac:dyDescent="0.2">
      <c r="A21" s="705" t="s">
        <v>458</v>
      </c>
      <c r="B21" s="706" t="s">
        <v>1005</v>
      </c>
      <c r="C21" s="713">
        <f>'Revenues 9-14'!B49</f>
        <v>1423</v>
      </c>
      <c r="D21" s="712" t="str">
        <f>'Revenues 9-14'!A49</f>
        <v>Summer Sch - Transp. Fees from Other Sources (In State)</v>
      </c>
      <c r="E21" s="704"/>
      <c r="F21" s="1782">
        <f>'Revenues 9-14'!F49</f>
        <v>0</v>
      </c>
      <c r="G21" s="701"/>
    </row>
    <row r="22" spans="1:7" x14ac:dyDescent="0.2">
      <c r="A22" s="705" t="s">
        <v>458</v>
      </c>
      <c r="B22" s="706" t="s">
        <v>1006</v>
      </c>
      <c r="C22" s="713">
        <f>'Revenues 9-14'!B50</f>
        <v>1424</v>
      </c>
      <c r="D22" s="712" t="str">
        <f>'Revenues 9-14'!A50</f>
        <v>Summer Sch - Transp. Fees from Other Sources (Out of State)</v>
      </c>
      <c r="E22" s="704"/>
      <c r="F22" s="1782">
        <f>'Revenues 9-14'!F50</f>
        <v>0</v>
      </c>
      <c r="G22" s="701"/>
    </row>
    <row r="23" spans="1:7" x14ac:dyDescent="0.2">
      <c r="A23" s="705" t="s">
        <v>458</v>
      </c>
      <c r="B23" s="706" t="s">
        <v>1007</v>
      </c>
      <c r="C23" s="711">
        <f>'Revenues 9-14'!B52</f>
        <v>1432</v>
      </c>
      <c r="D23" s="712" t="str">
        <f>'Revenues 9-14'!A52</f>
        <v>CTE - Transp Fees from Other Districts (In State)</v>
      </c>
      <c r="E23" s="704"/>
      <c r="F23" s="1782">
        <f>'Revenues 9-14'!F52</f>
        <v>0</v>
      </c>
      <c r="G23" s="701"/>
    </row>
    <row r="24" spans="1:7" x14ac:dyDescent="0.2">
      <c r="A24" s="705" t="s">
        <v>458</v>
      </c>
      <c r="B24" s="706" t="s">
        <v>1008</v>
      </c>
      <c r="C24" s="711">
        <f>'Revenues 9-14'!B56</f>
        <v>1442</v>
      </c>
      <c r="D24" s="712" t="str">
        <f>'Revenues 9-14'!A56</f>
        <v>Special Ed - Transp Fees from Other Districts (In State)</v>
      </c>
      <c r="E24" s="704"/>
      <c r="F24" s="1782">
        <f>'Revenues 9-14'!F56</f>
        <v>0</v>
      </c>
      <c r="G24" s="701"/>
    </row>
    <row r="25" spans="1:7" x14ac:dyDescent="0.2">
      <c r="A25" s="705" t="s">
        <v>458</v>
      </c>
      <c r="B25" s="706" t="s">
        <v>1009</v>
      </c>
      <c r="C25" s="711">
        <f>'Revenues 9-14'!B59</f>
        <v>1451</v>
      </c>
      <c r="D25" s="712" t="str">
        <f>'Revenues 9-14'!A59</f>
        <v>Adult - Transp Fees from Pupils or Parents (In State)</v>
      </c>
      <c r="E25" s="704"/>
      <c r="F25" s="1782">
        <f>'Revenues 9-14'!F59</f>
        <v>0</v>
      </c>
      <c r="G25" s="701"/>
    </row>
    <row r="26" spans="1:7" x14ac:dyDescent="0.2">
      <c r="A26" s="705" t="s">
        <v>458</v>
      </c>
      <c r="B26" s="706" t="s">
        <v>1010</v>
      </c>
      <c r="C26" s="711">
        <f>'Revenues 9-14'!B60</f>
        <v>1452</v>
      </c>
      <c r="D26" s="712" t="str">
        <f>'Revenues 9-14'!A60</f>
        <v>Adult - Transp Fees from Other Districts (In State)</v>
      </c>
      <c r="E26" s="704"/>
      <c r="F26" s="1782">
        <f>'Revenues 9-14'!F60</f>
        <v>0</v>
      </c>
      <c r="G26" s="701"/>
    </row>
    <row r="27" spans="1:7" x14ac:dyDescent="0.2">
      <c r="A27" s="705" t="s">
        <v>458</v>
      </c>
      <c r="B27" s="706" t="s">
        <v>1011</v>
      </c>
      <c r="C27" s="711">
        <f>'Revenues 9-14'!B61</f>
        <v>1453</v>
      </c>
      <c r="D27" s="712" t="str">
        <f>'Revenues 9-14'!A61</f>
        <v>Adult - Transp Fees from Other Sources (In State)</v>
      </c>
      <c r="E27" s="704"/>
      <c r="F27" s="1782">
        <f>'Revenues 9-14'!F61</f>
        <v>0</v>
      </c>
      <c r="G27" s="701"/>
    </row>
    <row r="28" spans="1:7" x14ac:dyDescent="0.2">
      <c r="A28" s="705" t="s">
        <v>458</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83">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1903</v>
      </c>
      <c r="C33" s="711">
        <f>'Revenues 9-14'!B222</f>
        <v>4810</v>
      </c>
      <c r="D33" s="718" t="str">
        <f>'Revenues 9-14'!A222</f>
        <v>Federal - Adult Education</v>
      </c>
      <c r="E33" s="704"/>
      <c r="F33" s="1782">
        <f>'Revenues 9-14'!D222</f>
        <v>0</v>
      </c>
      <c r="G33" s="701"/>
    </row>
    <row r="34" spans="1:7" x14ac:dyDescent="0.2">
      <c r="A34" s="705" t="s">
        <v>456</v>
      </c>
      <c r="B34" s="705" t="s">
        <v>1449</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82">
        <f>'Expenditures 15-22'!K15-SUM('Expenditures 15-22'!G15,'Expenditures 15-22'!I15)</f>
        <v>784714</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2121404</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1454</v>
      </c>
      <c r="C52" s="724" t="str">
        <f>'Expenditures 15-22'!B75</f>
        <v>3000</v>
      </c>
      <c r="D52" s="723" t="s">
        <v>446</v>
      </c>
      <c r="E52" s="704"/>
      <c r="F52" s="1782">
        <f>'Expenditures 15-22'!K75-SUM('Expenditures 15-22'!G75,'Expenditures 15-22'!I75)</f>
        <v>2675810</v>
      </c>
      <c r="G52" s="701"/>
    </row>
    <row r="53" spans="1:7" x14ac:dyDescent="0.2">
      <c r="A53" s="705" t="s">
        <v>456</v>
      </c>
      <c r="B53" s="705" t="s">
        <v>1455</v>
      </c>
      <c r="C53" s="724">
        <f>'Expenditures 15-22'!B102</f>
        <v>4000</v>
      </c>
      <c r="D53" s="723" t="str">
        <f>'Expenditures 15-22'!A102</f>
        <v>Total Payments to Other Govt Units</v>
      </c>
      <c r="E53" s="704"/>
      <c r="F53" s="1782">
        <f>'Expenditures 15-22'!K102</f>
        <v>6910940</v>
      </c>
      <c r="G53" s="701"/>
    </row>
    <row r="54" spans="1:7" x14ac:dyDescent="0.2">
      <c r="A54" s="705" t="s">
        <v>456</v>
      </c>
      <c r="B54" s="705" t="s">
        <v>1456</v>
      </c>
      <c r="C54" s="724" t="s">
        <v>974</v>
      </c>
      <c r="D54" s="720" t="s">
        <v>1085</v>
      </c>
      <c r="E54" s="704"/>
      <c r="F54" s="1782">
        <f>'Expenditures 15-22'!G114</f>
        <v>2620831</v>
      </c>
      <c r="G54" s="701"/>
    </row>
    <row r="55" spans="1:7" x14ac:dyDescent="0.2">
      <c r="A55" s="705" t="s">
        <v>456</v>
      </c>
      <c r="B55" s="705" t="s">
        <v>1457</v>
      </c>
      <c r="C55" s="724" t="s">
        <v>974</v>
      </c>
      <c r="D55" s="720" t="s">
        <v>288</v>
      </c>
      <c r="E55" s="704"/>
      <c r="F55" s="1782">
        <f>'Expenditures 15-22'!I114</f>
        <v>0</v>
      </c>
      <c r="G55" s="701"/>
    </row>
    <row r="56" spans="1:7" x14ac:dyDescent="0.2">
      <c r="A56" s="705" t="s">
        <v>457</v>
      </c>
      <c r="B56" s="705" t="s">
        <v>1458</v>
      </c>
      <c r="C56" s="721" t="str">
        <f>'Expenditures 15-22'!B130</f>
        <v>3000</v>
      </c>
      <c r="D56" s="727" t="s">
        <v>446</v>
      </c>
      <c r="E56" s="704"/>
      <c r="F56" s="1782">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82">
        <f>'Expenditures 15-22'!K139</f>
        <v>0</v>
      </c>
      <c r="G57" s="701"/>
    </row>
    <row r="58" spans="1:7" x14ac:dyDescent="0.2">
      <c r="A58" s="705" t="s">
        <v>457</v>
      </c>
      <c r="B58" s="705" t="s">
        <v>1848</v>
      </c>
      <c r="C58" s="721" t="s">
        <v>974</v>
      </c>
      <c r="D58" s="720" t="s">
        <v>1085</v>
      </c>
      <c r="E58" s="704"/>
      <c r="F58" s="1784">
        <f>'Expenditures 15-22'!G151</f>
        <v>21630176</v>
      </c>
      <c r="G58" s="701"/>
    </row>
    <row r="59" spans="1:7" x14ac:dyDescent="0.2">
      <c r="A59" s="728" t="s">
        <v>457</v>
      </c>
      <c r="B59" s="692" t="s">
        <v>1849</v>
      </c>
      <c r="C59" s="729" t="s">
        <v>974</v>
      </c>
      <c r="D59" s="692" t="s">
        <v>288</v>
      </c>
      <c r="F59" s="1785">
        <f>'Expenditures 15-22'!I151</f>
        <v>0</v>
      </c>
      <c r="G59" s="701"/>
    </row>
    <row r="60" spans="1:7" x14ac:dyDescent="0.2">
      <c r="A60" s="728" t="s">
        <v>496</v>
      </c>
      <c r="B60" s="692" t="s">
        <v>1850</v>
      </c>
      <c r="C60" s="729">
        <v>4000</v>
      </c>
      <c r="D60" s="692" t="s">
        <v>309</v>
      </c>
      <c r="F60" s="1783">
        <f>'Expenditures 15-22'!K160</f>
        <v>0</v>
      </c>
      <c r="G60" s="701"/>
    </row>
    <row r="61" spans="1:7" x14ac:dyDescent="0.2">
      <c r="A61" s="730" t="s">
        <v>496</v>
      </c>
      <c r="B61" s="730" t="s">
        <v>1851</v>
      </c>
      <c r="C61" s="731" t="str">
        <f>'Expenditures 15-22'!B170</f>
        <v>5300</v>
      </c>
      <c r="D61" s="732" t="s">
        <v>308</v>
      </c>
      <c r="E61" s="715"/>
      <c r="F61" s="1782">
        <f>'Expenditures 15-22'!K170</f>
        <v>3785549</v>
      </c>
      <c r="G61" s="701"/>
    </row>
    <row r="62" spans="1:7" x14ac:dyDescent="0.2">
      <c r="A62" s="705" t="s">
        <v>458</v>
      </c>
      <c r="B62" s="705" t="s">
        <v>1852</v>
      </c>
      <c r="C62" s="721">
        <f>'Expenditures 15-22'!B185</f>
        <v>3000</v>
      </c>
      <c r="D62" s="712" t="s">
        <v>446</v>
      </c>
      <c r="E62" s="704"/>
      <c r="F62" s="1782">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1854</v>
      </c>
      <c r="C64" s="731" t="str">
        <f>'Expenditures 15-22'!B206</f>
        <v>5300</v>
      </c>
      <c r="D64" s="727" t="s">
        <v>308</v>
      </c>
      <c r="E64" s="704"/>
      <c r="F64" s="1782">
        <f>'Expenditures 15-22'!K206</f>
        <v>0</v>
      </c>
      <c r="G64" s="701"/>
    </row>
    <row r="65" spans="1:9" x14ac:dyDescent="0.2">
      <c r="A65" s="705" t="s">
        <v>458</v>
      </c>
      <c r="B65" s="705" t="s">
        <v>1855</v>
      </c>
      <c r="C65" s="721" t="s">
        <v>974</v>
      </c>
      <c r="D65" s="720" t="s">
        <v>1085</v>
      </c>
      <c r="E65" s="704"/>
      <c r="F65" s="1782">
        <f>'Expenditures 15-22'!G210</f>
        <v>68878</v>
      </c>
      <c r="G65" s="701"/>
    </row>
    <row r="66" spans="1:9" x14ac:dyDescent="0.2">
      <c r="A66" s="705" t="s">
        <v>458</v>
      </c>
      <c r="B66" s="705" t="s">
        <v>1856</v>
      </c>
      <c r="C66" s="721" t="s">
        <v>974</v>
      </c>
      <c r="D66" s="720" t="s">
        <v>288</v>
      </c>
      <c r="E66" s="704"/>
      <c r="F66" s="1782">
        <f>'Expenditures 15-22'!I210</f>
        <v>0</v>
      </c>
      <c r="G66" s="701"/>
    </row>
    <row r="67" spans="1:9" x14ac:dyDescent="0.2">
      <c r="A67" s="705" t="s">
        <v>459</v>
      </c>
      <c r="B67" s="705" t="s">
        <v>1857</v>
      </c>
      <c r="C67" s="721" t="str">
        <f>'Expenditures 15-22'!B216</f>
        <v>1125</v>
      </c>
      <c r="D67" s="727" t="str">
        <f>'Expenditures 15-22'!A216</f>
        <v>Pre-K Programs</v>
      </c>
      <c r="E67" s="704"/>
      <c r="F67" s="1782">
        <f>'Expenditures 15-22'!K216</f>
        <v>0</v>
      </c>
      <c r="G67" s="701"/>
    </row>
    <row r="68" spans="1:9" x14ac:dyDescent="0.2">
      <c r="A68" s="705" t="s">
        <v>459</v>
      </c>
      <c r="B68" s="705" t="s">
        <v>1459</v>
      </c>
      <c r="C68" s="721" t="str">
        <f>'Expenditures 15-22'!B218</f>
        <v>1225</v>
      </c>
      <c r="D68" s="727" t="str">
        <f>'Expenditures 15-22'!A218</f>
        <v>Special Education Programs - Pre-K</v>
      </c>
      <c r="E68" s="704"/>
      <c r="F68" s="1782">
        <f>'Expenditures 15-22'!K218</f>
        <v>0</v>
      </c>
      <c r="G68" s="701"/>
    </row>
    <row r="69" spans="1:9" x14ac:dyDescent="0.2">
      <c r="A69" s="705" t="s">
        <v>459</v>
      </c>
      <c r="B69" s="705" t="s">
        <v>1858</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1859</v>
      </c>
      <c r="C70" s="721">
        <f>'Expenditures 15-22'!B221</f>
        <v>1300</v>
      </c>
      <c r="D70" s="722" t="str">
        <f>'Expenditures 15-22'!A221</f>
        <v>Adult/Continuing Education Programs</v>
      </c>
      <c r="E70" s="704"/>
      <c r="F70" s="1782">
        <f>'Expenditures 15-22'!K221</f>
        <v>0</v>
      </c>
      <c r="G70" s="701"/>
    </row>
    <row r="71" spans="1:9" x14ac:dyDescent="0.2">
      <c r="A71" s="705" t="s">
        <v>459</v>
      </c>
      <c r="B71" s="705" t="s">
        <v>1860</v>
      </c>
      <c r="C71" s="721">
        <f>'Expenditures 15-22'!B224</f>
        <v>1600</v>
      </c>
      <c r="D71" s="722" t="str">
        <f>'Expenditures 15-22'!A224</f>
        <v>Summer School Programs</v>
      </c>
      <c r="E71" s="704"/>
      <c r="F71" s="1782">
        <f>'Expenditures 15-22'!K224</f>
        <v>20280</v>
      </c>
      <c r="G71" s="701"/>
    </row>
    <row r="72" spans="1:9" x14ac:dyDescent="0.2">
      <c r="A72" s="705" t="s">
        <v>459</v>
      </c>
      <c r="B72" s="705" t="s">
        <v>1861</v>
      </c>
      <c r="C72" s="721">
        <f>'Expenditures 15-22'!B280</f>
        <v>3000</v>
      </c>
      <c r="D72" s="712" t="s">
        <v>446</v>
      </c>
      <c r="E72" s="704"/>
      <c r="F72" s="1782">
        <f>'Expenditures 15-22'!K280</f>
        <v>391676</v>
      </c>
      <c r="G72" s="701"/>
    </row>
    <row r="73" spans="1:9" x14ac:dyDescent="0.2">
      <c r="A73" s="705" t="s">
        <v>459</v>
      </c>
      <c r="B73" s="705" t="s">
        <v>1862</v>
      </c>
      <c r="C73" s="721" t="str">
        <f>'Expenditures 15-22'!B285</f>
        <v>4000</v>
      </c>
      <c r="D73" s="722" t="str">
        <f>'Expenditures 15-22'!A285</f>
        <v>Total Payments to Other Govt Units</v>
      </c>
      <c r="E73" s="704"/>
      <c r="F73" s="1782">
        <f>'Expenditures 15-22'!K285</f>
        <v>30021</v>
      </c>
      <c r="G73" s="701"/>
    </row>
    <row r="74" spans="1:9" x14ac:dyDescent="0.2">
      <c r="A74" s="705" t="s">
        <v>433</v>
      </c>
      <c r="B74" s="705" t="s">
        <v>1863</v>
      </c>
      <c r="C74" s="721" t="s">
        <v>854</v>
      </c>
      <c r="D74" s="722" t="s">
        <v>1467</v>
      </c>
      <c r="E74" s="704"/>
      <c r="F74" s="1786">
        <f>'Expenditures 15-22'!K334</f>
        <v>0</v>
      </c>
      <c r="G74" s="701"/>
    </row>
    <row r="75" spans="1:9" x14ac:dyDescent="0.2">
      <c r="A75" s="705" t="s">
        <v>2002</v>
      </c>
      <c r="B75" s="705" t="s">
        <v>2003</v>
      </c>
      <c r="C75" s="721" t="s">
        <v>974</v>
      </c>
      <c r="D75" s="722" t="s">
        <v>1085</v>
      </c>
      <c r="E75" s="704"/>
      <c r="F75" s="1786">
        <f>'Expenditures 15-22'!G342</f>
        <v>0</v>
      </c>
      <c r="G75" s="701"/>
    </row>
    <row r="76" spans="1:9" ht="10.5" customHeight="1" x14ac:dyDescent="0.2">
      <c r="A76" s="701" t="s">
        <v>433</v>
      </c>
      <c r="B76" s="705" t="s">
        <v>2004</v>
      </c>
      <c r="C76" s="711" t="s">
        <v>974</v>
      </c>
      <c r="D76" s="701" t="s">
        <v>288</v>
      </c>
      <c r="E76" s="704"/>
      <c r="F76" s="1786">
        <f>'Expenditures 15-22'!I342</f>
        <v>0</v>
      </c>
      <c r="G76" s="703"/>
    </row>
    <row r="77" spans="1:9" ht="12" thickBot="1" x14ac:dyDescent="0.25">
      <c r="A77" s="1443"/>
      <c r="B77" s="1448"/>
      <c r="C77" s="1445"/>
      <c r="D77" s="1449" t="s">
        <v>2005</v>
      </c>
      <c r="E77" s="1447" t="s">
        <v>951</v>
      </c>
      <c r="F77" s="1787">
        <f>SUM(F18:F76)</f>
        <v>41040279</v>
      </c>
      <c r="G77" s="701"/>
    </row>
    <row r="78" spans="1:9" s="728" customFormat="1" ht="12" customHeight="1" thickTop="1" thickBot="1" x14ac:dyDescent="0.25">
      <c r="A78" s="1450"/>
      <c r="B78" s="1448"/>
      <c r="C78" s="1445"/>
      <c r="D78" s="1449" t="s">
        <v>2006</v>
      </c>
      <c r="E78" s="1447"/>
      <c r="F78" s="1788">
        <f>(F14-F77)</f>
        <v>93806955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4056.3</v>
      </c>
      <c r="G79" s="733"/>
      <c r="H79" s="705"/>
      <c r="I79" s="705"/>
    </row>
    <row r="80" spans="1:9" s="728" customFormat="1" ht="12" customHeight="1" thickBot="1" x14ac:dyDescent="0.25">
      <c r="A80" s="1452"/>
      <c r="B80" s="1448"/>
      <c r="C80" s="1445"/>
      <c r="D80" s="1449" t="s">
        <v>2007</v>
      </c>
      <c r="E80" s="1447" t="s">
        <v>951</v>
      </c>
      <c r="F80" s="1790">
        <f>IF(F79&gt;0,F78/F79," Complete Line 79")</f>
        <v>23126.236964721542</v>
      </c>
      <c r="G80" s="705"/>
    </row>
    <row r="81" spans="1:7" s="728" customFormat="1" ht="8.25" customHeight="1" thickTop="1" x14ac:dyDescent="0.2">
      <c r="A81" s="734"/>
      <c r="B81" s="705"/>
      <c r="C81" s="707"/>
      <c r="D81" s="735"/>
      <c r="E81" s="704"/>
      <c r="F81" s="1791"/>
      <c r="G81" s="705"/>
    </row>
    <row r="82" spans="1:7" s="728" customFormat="1" ht="12" thickBot="1" x14ac:dyDescent="0.25">
      <c r="A82" s="2364" t="s">
        <v>1095</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2189191</v>
      </c>
      <c r="G95" s="745"/>
    </row>
    <row r="96" spans="1:7" x14ac:dyDescent="0.2">
      <c r="A96" s="741" t="s">
        <v>139</v>
      </c>
      <c r="B96" s="741" t="s">
        <v>174</v>
      </c>
      <c r="C96" s="743">
        <v>1700</v>
      </c>
      <c r="D96" s="751" t="str">
        <f>'Revenues 9-14'!A82</f>
        <v>Total District/School Activity Income</v>
      </c>
      <c r="E96" s="739"/>
      <c r="F96" s="1793">
        <f>SUM('Revenues 9-14'!C82,'Revenues 9-14'!D82)</f>
        <v>1612893</v>
      </c>
      <c r="G96" s="745"/>
    </row>
    <row r="97" spans="1:7" x14ac:dyDescent="0.2">
      <c r="A97" s="741" t="s">
        <v>456</v>
      </c>
      <c r="B97" s="741" t="s">
        <v>175</v>
      </c>
      <c r="C97" s="743">
        <f>'Revenues 9-14'!B84</f>
        <v>1811</v>
      </c>
      <c r="D97" s="744" t="str">
        <f>'Revenues 9-14'!A84</f>
        <v>Rentals - Regular Textbooks</v>
      </c>
      <c r="E97" s="739"/>
      <c r="F97" s="1793">
        <f>'Revenues 9-14'!C84</f>
        <v>815850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88308</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93">
        <f>('Revenues 9-14'!C106)</f>
        <v>0</v>
      </c>
      <c r="G105" s="745"/>
    </row>
    <row r="106" spans="1:7" x14ac:dyDescent="0.2">
      <c r="A106" s="741" t="s">
        <v>500</v>
      </c>
      <c r="B106" s="741" t="s">
        <v>1904</v>
      </c>
      <c r="C106" s="746">
        <v>3100</v>
      </c>
      <c r="D106" s="752" t="str">
        <f>'Revenues 9-14'!A132</f>
        <v>Total Special Education</v>
      </c>
      <c r="E106" s="739"/>
      <c r="F106" s="1793">
        <f>SUM('Revenues 9-14'!C132:D132,'Revenues 9-14'!F132)</f>
        <v>424092</v>
      </c>
      <c r="G106" s="745"/>
    </row>
    <row r="107" spans="1:7" x14ac:dyDescent="0.2">
      <c r="A107" s="741" t="s">
        <v>668</v>
      </c>
      <c r="B107" s="741" t="s">
        <v>1905</v>
      </c>
      <c r="C107" s="753">
        <v>3200</v>
      </c>
      <c r="D107" s="744" t="str">
        <f>'Revenues 9-14'!A141</f>
        <v>Total Career and Technical Education</v>
      </c>
      <c r="E107" s="739"/>
      <c r="F107" s="1793">
        <f>SUM('Revenues 9-14'!C141,'Revenues 9-14'!D141,'Revenues 9-14'!G141)</f>
        <v>47748</v>
      </c>
      <c r="G107" s="745"/>
    </row>
    <row r="108" spans="1:7" x14ac:dyDescent="0.2">
      <c r="A108" s="754" t="s">
        <v>659</v>
      </c>
      <c r="B108" s="741" t="s">
        <v>1906</v>
      </c>
      <c r="C108" s="753">
        <v>3300</v>
      </c>
      <c r="D108" s="744" t="str">
        <f>'Revenues 9-14'!A145</f>
        <v>Total Bilingual Ed</v>
      </c>
      <c r="E108" s="739"/>
      <c r="F108" s="1793">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93">
        <f>'Revenues 9-14'!C146</f>
        <v>0</v>
      </c>
      <c r="G109" s="745"/>
    </row>
    <row r="110" spans="1:7" x14ac:dyDescent="0.2">
      <c r="A110" s="741" t="s">
        <v>668</v>
      </c>
      <c r="B110" s="741" t="s">
        <v>1908</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93">
        <f>SUM('Revenues 9-14'!C148,'Revenues 9-14'!D148)</f>
        <v>49387</v>
      </c>
      <c r="G111" s="745"/>
    </row>
    <row r="112" spans="1:7" x14ac:dyDescent="0.2">
      <c r="A112" s="741" t="s">
        <v>663</v>
      </c>
      <c r="B112" s="741" t="s">
        <v>1910</v>
      </c>
      <c r="C112" s="755">
        <v>3500</v>
      </c>
      <c r="D112" s="744" t="str">
        <f>'Revenues 9-14'!A155</f>
        <v>Total Transportation</v>
      </c>
      <c r="E112" s="739"/>
      <c r="F112" s="1793">
        <f>SUM('Revenues 9-14'!C155,'Revenues 9-14'!D155,'Revenues 9-14'!F155,'Revenues 9-14'!G155)</f>
        <v>1656078</v>
      </c>
      <c r="G112" s="745"/>
    </row>
    <row r="113" spans="1:7" x14ac:dyDescent="0.2">
      <c r="A113" s="741" t="s">
        <v>456</v>
      </c>
      <c r="B113" s="741" t="s">
        <v>1911</v>
      </c>
      <c r="C113" s="753">
        <f>'Revenues 9-14'!B156</f>
        <v>3610</v>
      </c>
      <c r="D113" s="744" t="str">
        <f>'Revenues 9-14'!A156</f>
        <v>Learning Improvement - Change Grants</v>
      </c>
      <c r="E113" s="739"/>
      <c r="F113" s="1793">
        <f>'Revenues 9-14'!C156</f>
        <v>0</v>
      </c>
      <c r="G113" s="745"/>
    </row>
    <row r="114" spans="1:7" x14ac:dyDescent="0.2">
      <c r="A114" s="741" t="s">
        <v>663</v>
      </c>
      <c r="B114" s="741" t="s">
        <v>1912</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92">
        <f>SUM('Revenues 9-14'!C163:G163)</f>
        <v>0</v>
      </c>
      <c r="G119" s="745"/>
    </row>
    <row r="120" spans="1:7" x14ac:dyDescent="0.2">
      <c r="A120" s="756" t="s">
        <v>501</v>
      </c>
      <c r="B120" s="756" t="s">
        <v>1918</v>
      </c>
      <c r="C120" s="757">
        <f>'Revenues 9-14'!B164</f>
        <v>3815</v>
      </c>
      <c r="D120" s="758" t="str">
        <f>'Revenues 9-14'!A164</f>
        <v>State Charter Schools</v>
      </c>
      <c r="E120" s="739"/>
      <c r="F120" s="1792">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93">
        <f>'Revenues 9-14'!D167</f>
        <v>0</v>
      </c>
      <c r="G121" s="763"/>
    </row>
    <row r="122" spans="1:7" x14ac:dyDescent="0.2">
      <c r="A122" s="760" t="s">
        <v>497</v>
      </c>
      <c r="B122" s="760" t="s">
        <v>1920</v>
      </c>
      <c r="C122" s="761">
        <f>'Revenues 9-14'!B168</f>
        <v>3999</v>
      </c>
      <c r="D122" s="762" t="s">
        <v>540</v>
      </c>
      <c r="E122" s="764"/>
      <c r="F122" s="1793">
        <f>SUM('Revenues 9-14'!C168:G168,'Revenues 9-14'!J168)</f>
        <v>768641</v>
      </c>
      <c r="G122" s="763"/>
    </row>
    <row r="123" spans="1:7" x14ac:dyDescent="0.2">
      <c r="A123" s="760" t="s">
        <v>456</v>
      </c>
      <c r="B123" s="760" t="s">
        <v>1921</v>
      </c>
      <c r="C123" s="765">
        <f>'Revenues 9-14'!B177</f>
        <v>4045</v>
      </c>
      <c r="D123" s="762" t="str">
        <f>'Revenues 9-14'!A177 &amp; " (Subtract)"</f>
        <v>Head Start (Subtract)</v>
      </c>
      <c r="E123" s="739"/>
      <c r="F123" s="1793">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1923</v>
      </c>
      <c r="C125" s="765">
        <v>4100</v>
      </c>
      <c r="D125" s="766" t="str">
        <f>'Revenues 9-14'!A188</f>
        <v>Total Title V</v>
      </c>
      <c r="E125" s="739"/>
      <c r="F125" s="1793">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93">
        <f>SUM('Revenues 9-14'!C198,'Revenues 9-14'!G198)</f>
        <v>0</v>
      </c>
      <c r="G126" s="763"/>
    </row>
    <row r="127" spans="1:7" x14ac:dyDescent="0.2">
      <c r="A127" s="760" t="s">
        <v>663</v>
      </c>
      <c r="B127" s="760" t="s">
        <v>1925</v>
      </c>
      <c r="C127" s="765">
        <v>4300</v>
      </c>
      <c r="D127" s="766" t="str">
        <f>'Revenues 9-14'!A204</f>
        <v>Total Title I</v>
      </c>
      <c r="E127" s="739"/>
      <c r="F127" s="1793">
        <f>SUM('Revenues 9-14'!C204,'Revenues 9-14'!D204,'Revenues 9-14'!F204,'Revenues 9-14'!G204)</f>
        <v>0</v>
      </c>
      <c r="G127" s="763"/>
    </row>
    <row r="128" spans="1:7" x14ac:dyDescent="0.2">
      <c r="A128" s="760" t="s">
        <v>663</v>
      </c>
      <c r="B128" s="760" t="s">
        <v>1926</v>
      </c>
      <c r="C128" s="765">
        <v>4400</v>
      </c>
      <c r="D128" s="766" t="str">
        <f>'Revenues 9-14'!A209</f>
        <v>Total Title IV</v>
      </c>
      <c r="E128" s="739"/>
      <c r="F128" s="1793">
        <f>SUM('Revenues 9-14'!C209,'Revenues 9-14'!D209,'Revenues 9-14'!F209,'Revenues 9-14'!G209)</f>
        <v>0</v>
      </c>
      <c r="G128" s="763"/>
    </row>
    <row r="129" spans="1:7" x14ac:dyDescent="0.2">
      <c r="A129" s="760" t="s">
        <v>663</v>
      </c>
      <c r="B129" s="760" t="s">
        <v>1927</v>
      </c>
      <c r="C129" s="765">
        <f>'Revenues 9-14'!B213</f>
        <v>4620</v>
      </c>
      <c r="D129" s="766" t="str">
        <f>'Revenues 9-14'!A213</f>
        <v>Fed - Spec Education - IDEA - Flow Through</v>
      </c>
      <c r="E129" s="739"/>
      <c r="F129" s="1793">
        <f>SUM('Revenues 9-14'!C213:D213,'Revenues 9-14'!F213:G213)</f>
        <v>633423</v>
      </c>
      <c r="G129" s="763"/>
    </row>
    <row r="130" spans="1:7" x14ac:dyDescent="0.2">
      <c r="A130" s="760" t="s">
        <v>663</v>
      </c>
      <c r="B130" s="760" t="s">
        <v>1928</v>
      </c>
      <c r="C130" s="765">
        <f>'Revenues 9-14'!B214</f>
        <v>4625</v>
      </c>
      <c r="D130" s="766" t="str">
        <f>'Revenues 9-14'!A214</f>
        <v>Fed - Spec Education - IDEA - Room &amp; Board</v>
      </c>
      <c r="E130" s="739"/>
      <c r="F130" s="1793">
        <f>SUM('Revenues 9-14'!C214,'Revenues 9-14'!D214,'Revenues 9-14'!F214,'Revenues 9-14'!G214)</f>
        <v>602137</v>
      </c>
      <c r="G130" s="763"/>
    </row>
    <row r="131" spans="1:7" x14ac:dyDescent="0.2">
      <c r="A131" s="760" t="s">
        <v>663</v>
      </c>
      <c r="B131" s="760" t="s">
        <v>1929</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1930</v>
      </c>
      <c r="C133" s="765">
        <v>4700</v>
      </c>
      <c r="D133" s="762" t="str">
        <f>'Revenues 9-14'!A221</f>
        <v>Total CTE - Perkins</v>
      </c>
      <c r="E133" s="739"/>
      <c r="F133" s="1793">
        <f>SUM('Revenues 9-14'!C221,'Revenues 9-14'!D221,'Revenues 9-14'!G221)</f>
        <v>16432</v>
      </c>
      <c r="G133" s="763">
        <v>6303</v>
      </c>
    </row>
    <row r="134" spans="1:7" s="703" customFormat="1" hidden="1" x14ac:dyDescent="0.2">
      <c r="A134" s="767" t="s">
        <v>204</v>
      </c>
      <c r="B134" s="767" t="s">
        <v>1931</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93">
        <v>0</v>
      </c>
      <c r="G139" s="738"/>
    </row>
    <row r="140" spans="1:7" s="703" customFormat="1" hidden="1" x14ac:dyDescent="0.2">
      <c r="A140" s="767" t="s">
        <v>204</v>
      </c>
      <c r="B140" s="767" t="s">
        <v>1937</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1397</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1945</v>
      </c>
      <c r="C158" s="773" t="s">
        <v>835</v>
      </c>
      <c r="D158" s="774" t="s">
        <v>771</v>
      </c>
      <c r="E158" s="775"/>
      <c r="F158" s="1793">
        <f>SUM(F134:F157)</f>
        <v>0</v>
      </c>
      <c r="G158" s="738"/>
    </row>
    <row r="159" spans="1:7" s="703" customFormat="1" x14ac:dyDescent="0.2">
      <c r="A159" s="771" t="s">
        <v>456</v>
      </c>
      <c r="B159" s="772" t="s">
        <v>1946</v>
      </c>
      <c r="C159" s="773" t="s">
        <v>1407</v>
      </c>
      <c r="D159" s="774" t="s">
        <v>1408</v>
      </c>
      <c r="E159" s="775"/>
      <c r="F159" s="1793">
        <f>SUM('Revenues 9-14'!C253)</f>
        <v>0</v>
      </c>
      <c r="G159" s="738"/>
    </row>
    <row r="160" spans="1:7" s="703" customFormat="1" x14ac:dyDescent="0.2">
      <c r="A160" s="771" t="s">
        <v>497</v>
      </c>
      <c r="B160" s="772" t="s">
        <v>1947</v>
      </c>
      <c r="C160" s="773" t="s">
        <v>1446</v>
      </c>
      <c r="D160" s="774" t="s">
        <v>1447</v>
      </c>
      <c r="E160" s="775"/>
      <c r="F160" s="1793">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93">
        <f>SUM('Revenues 9-14'!C256,'Revenues 9-14'!F256,'Revenues 9-14'!G256)</f>
        <v>13900</v>
      </c>
      <c r="G162" s="776"/>
    </row>
    <row r="163" spans="1:7" x14ac:dyDescent="0.2">
      <c r="A163" s="760" t="s">
        <v>663</v>
      </c>
      <c r="B163" s="760" t="s">
        <v>1950</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92">
        <f>SUM('Revenues 9-14'!C259,'Revenues 9-14'!D259,'Revenues 9-14'!F259,'Revenues 9-14'!G259)</f>
        <v>86939</v>
      </c>
      <c r="G165" s="763"/>
    </row>
    <row r="166" spans="1:7" x14ac:dyDescent="0.2">
      <c r="A166" s="760" t="s">
        <v>663</v>
      </c>
      <c r="B166" s="760" t="s">
        <v>1953</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93">
        <f>SUM('Revenues 9-14'!C263:D263,'Revenues 9-14'!F263:G263)</f>
        <v>27894</v>
      </c>
      <c r="G169" s="780">
        <v>6320</v>
      </c>
    </row>
    <row r="170" spans="1:7" x14ac:dyDescent="0.2">
      <c r="A170" s="760" t="s">
        <v>663</v>
      </c>
      <c r="B170" s="760" t="s">
        <v>1955</v>
      </c>
      <c r="C170" s="765">
        <f>'Revenues 9-14'!B264</f>
        <v>4992</v>
      </c>
      <c r="D170" s="766" t="str">
        <f>'Revenues 9-14'!A264</f>
        <v>Medicaid Matching Funds - Fee-for-Service Program</v>
      </c>
      <c r="E170" s="739"/>
      <c r="F170" s="1793">
        <f>SUM('Revenues 9-14'!C264:D264,'Revenues 9-14'!F264:G264)</f>
        <v>228121</v>
      </c>
      <c r="G170" s="780"/>
    </row>
    <row r="171" spans="1:7" x14ac:dyDescent="0.2">
      <c r="A171" s="781" t="s">
        <v>663</v>
      </c>
      <c r="B171" s="777" t="s">
        <v>1956</v>
      </c>
      <c r="C171" s="778">
        <f>'Revenues 9-14'!B265</f>
        <v>4998</v>
      </c>
      <c r="D171" s="779" t="str">
        <f>'Revenues 9-14'!A265</f>
        <v>Other Restricted Revenue from Federal Sources (Describe &amp; Itemize)</v>
      </c>
      <c r="E171" s="739"/>
      <c r="F171" s="1793">
        <f>SUM('Revenues 9-14'!C265:D265,'Revenues 9-14'!F265:G265)</f>
        <v>31561</v>
      </c>
      <c r="G171" s="760"/>
    </row>
    <row r="172" spans="1:7" x14ac:dyDescent="0.2">
      <c r="A172" s="1529" t="s">
        <v>5</v>
      </c>
      <c r="B172" s="1530" t="s">
        <v>1879</v>
      </c>
      <c r="C172" s="1531">
        <v>3100</v>
      </c>
      <c r="D172" s="1532" t="s">
        <v>1881</v>
      </c>
      <c r="E172" s="739"/>
      <c r="F172" s="1794">
        <v>931091.09</v>
      </c>
      <c r="G172" s="760"/>
    </row>
    <row r="173" spans="1:7" x14ac:dyDescent="0.2">
      <c r="A173" s="1529" t="s">
        <v>659</v>
      </c>
      <c r="B173" s="1530" t="s">
        <v>1879</v>
      </c>
      <c r="C173" s="1531">
        <v>3300</v>
      </c>
      <c r="D173" s="1532" t="s">
        <v>1882</v>
      </c>
      <c r="E173" s="739"/>
      <c r="F173" s="1794">
        <v>36170.97</v>
      </c>
      <c r="G173" s="760"/>
    </row>
    <row r="174" spans="1:7" ht="6" customHeight="1" x14ac:dyDescent="0.2">
      <c r="A174" s="760"/>
      <c r="B174" s="760"/>
      <c r="C174" s="782"/>
      <c r="D174" s="760"/>
      <c r="E174" s="739"/>
      <c r="F174" s="1795"/>
      <c r="G174" s="780"/>
    </row>
    <row r="175" spans="1:7" x14ac:dyDescent="0.2">
      <c r="A175" s="1443"/>
      <c r="B175" s="1453"/>
      <c r="C175" s="1454"/>
      <c r="D175" s="1455" t="s">
        <v>2010</v>
      </c>
      <c r="E175" s="1456" t="s">
        <v>951</v>
      </c>
      <c r="F175" s="1796">
        <f>SUM(F85:F133,F158:F173)</f>
        <v>10259857.060000001</v>
      </c>
    </row>
    <row r="176" spans="1:7" ht="12" customHeight="1" x14ac:dyDescent="0.2">
      <c r="A176" s="1443"/>
      <c r="B176" s="1453"/>
      <c r="C176" s="1454"/>
      <c r="D176" s="1455" t="s">
        <v>2008</v>
      </c>
      <c r="E176" s="1456"/>
      <c r="F176" s="1793">
        <f>'PCTC-OEPP 27-28'!F78-F175</f>
        <v>83547097.939999998</v>
      </c>
    </row>
    <row r="177" spans="1:9" ht="12" customHeight="1" x14ac:dyDescent="0.2">
      <c r="A177" s="1443"/>
      <c r="B177" s="1453"/>
      <c r="C177" s="1454"/>
      <c r="D177" s="1455" t="s">
        <v>1788</v>
      </c>
      <c r="E177" s="1456"/>
      <c r="F177" s="1793">
        <f>'Cap Outlay Deprec 26'!I18</f>
        <v>8204101</v>
      </c>
    </row>
    <row r="178" spans="1:9" ht="12" customHeight="1" x14ac:dyDescent="0.2">
      <c r="A178" s="1443"/>
      <c r="B178" s="1453"/>
      <c r="C178" s="1454"/>
      <c r="D178" s="1455" t="s">
        <v>2009</v>
      </c>
      <c r="E178" s="1456"/>
      <c r="F178" s="1793">
        <f>F176+F177</f>
        <v>91751198.939999998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4056.3</v>
      </c>
      <c r="G179" s="763"/>
      <c r="I179" s="701"/>
    </row>
    <row r="180" spans="1:9" ht="12" customHeight="1" thickBot="1" x14ac:dyDescent="0.25">
      <c r="A180" s="1443"/>
      <c r="B180" s="1457"/>
      <c r="C180" s="1454"/>
      <c r="D180" s="1455" t="s">
        <v>2011</v>
      </c>
      <c r="E180" s="1456" t="s">
        <v>1525</v>
      </c>
      <c r="F180" s="1798">
        <f>F178/F179</f>
        <v>22619.431240292877</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1884</v>
      </c>
      <c r="B186" s="1536"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C22" sqref="C22"/>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1801</v>
      </c>
      <c r="B1" s="1860"/>
      <c r="C1" s="1861"/>
      <c r="D1" s="1861"/>
      <c r="E1" s="1861"/>
      <c r="F1" s="1861"/>
    </row>
    <row r="2" spans="1:6" x14ac:dyDescent="0.25">
      <c r="A2" s="1863"/>
      <c r="B2" s="1864"/>
      <c r="C2" s="1913" t="s">
        <v>1997</v>
      </c>
      <c r="D2" s="1863"/>
      <c r="E2" s="1863"/>
      <c r="F2" s="1863"/>
    </row>
    <row r="3" spans="1:6" ht="5.25" customHeight="1" x14ac:dyDescent="0.25">
      <c r="A3" s="1865"/>
      <c r="B3" s="1866"/>
      <c r="C3" s="1865"/>
      <c r="D3" s="1865"/>
      <c r="E3" s="1865"/>
      <c r="F3" s="1865"/>
    </row>
    <row r="4" spans="1:6" ht="18.75" customHeight="1" x14ac:dyDescent="0.25">
      <c r="A4" s="2378" t="s">
        <v>1789</v>
      </c>
      <c r="B4" s="2379"/>
      <c r="C4" s="2379"/>
      <c r="D4" s="2379"/>
      <c r="E4" s="2379"/>
      <c r="F4" s="2380"/>
    </row>
    <row r="5" spans="1:6" x14ac:dyDescent="0.25">
      <c r="A5" s="2381"/>
      <c r="B5" s="2382"/>
      <c r="C5" s="2382"/>
      <c r="D5" s="2382"/>
      <c r="E5" s="2382"/>
      <c r="F5" s="2383"/>
    </row>
    <row r="6" spans="1:6" ht="18.75" x14ac:dyDescent="0.25">
      <c r="A6" s="1867" t="s">
        <v>1790</v>
      </c>
      <c r="B6" s="1868"/>
      <c r="C6" s="1869"/>
      <c r="D6" s="1869"/>
      <c r="E6" s="1869"/>
      <c r="F6" s="1870"/>
    </row>
    <row r="7" spans="1:6" ht="47.25" customHeight="1" x14ac:dyDescent="0.25">
      <c r="A7" s="2384" t="s">
        <v>1979</v>
      </c>
      <c r="B7" s="2385"/>
      <c r="C7" s="2385"/>
      <c r="D7" s="2385"/>
      <c r="E7" s="2385"/>
      <c r="F7" s="2386"/>
    </row>
    <row r="8" spans="1:6" ht="20.25" customHeight="1" x14ac:dyDescent="0.25">
      <c r="A8" s="1902" t="s">
        <v>1981</v>
      </c>
      <c r="B8" s="1903"/>
      <c r="C8" s="1903"/>
      <c r="D8" s="1903"/>
      <c r="E8" s="1871"/>
      <c r="F8" s="1872"/>
    </row>
    <row r="9" spans="1:6" ht="18" customHeight="1" x14ac:dyDescent="0.25">
      <c r="A9" s="1873" t="s">
        <v>1978</v>
      </c>
      <c r="B9" s="1875"/>
      <c r="C9" s="1875"/>
      <c r="D9" s="1875"/>
      <c r="E9" s="1871"/>
      <c r="F9" s="1872"/>
    </row>
    <row r="10" spans="1:6" ht="15.75" customHeight="1" x14ac:dyDescent="0.25">
      <c r="A10" s="2387" t="s">
        <v>1975</v>
      </c>
      <c r="B10" s="2388"/>
      <c r="C10" s="2388"/>
      <c r="D10" s="2388"/>
      <c r="E10" s="2388"/>
      <c r="F10" s="2389"/>
    </row>
    <row r="11" spans="1:6" ht="33" customHeight="1" x14ac:dyDescent="0.25">
      <c r="A11" s="2384" t="s">
        <v>1980</v>
      </c>
      <c r="B11" s="2385"/>
      <c r="C11" s="2385"/>
      <c r="D11" s="2385"/>
      <c r="E11" s="2385"/>
      <c r="F11" s="2386"/>
    </row>
    <row r="12" spans="1:6" ht="15" customHeight="1" x14ac:dyDescent="0.25">
      <c r="A12" s="1873" t="s">
        <v>1976</v>
      </c>
      <c r="B12" s="1874"/>
      <c r="C12" s="1875"/>
      <c r="D12" s="1875"/>
      <c r="E12" s="1875"/>
      <c r="F12" s="1876"/>
    </row>
    <row r="13" spans="1:6" ht="17.25" customHeight="1" x14ac:dyDescent="0.25">
      <c r="A13" s="2384" t="s">
        <v>1977</v>
      </c>
      <c r="B13" s="2385"/>
      <c r="C13" s="2385"/>
      <c r="D13" s="2385"/>
      <c r="E13" s="2385"/>
      <c r="F13" s="2386"/>
    </row>
    <row r="14" spans="1:6" ht="15" customHeight="1" x14ac:dyDescent="0.25">
      <c r="A14" s="1873" t="s">
        <v>1794</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1795</v>
      </c>
      <c r="B16" s="1878" t="s">
        <v>1796</v>
      </c>
      <c r="C16" s="1877" t="s">
        <v>1797</v>
      </c>
      <c r="D16" s="1879" t="s">
        <v>1798</v>
      </c>
      <c r="E16" s="1879" t="s">
        <v>1799</v>
      </c>
      <c r="F16" s="1879" t="s">
        <v>1800</v>
      </c>
    </row>
    <row r="17" spans="1:7" x14ac:dyDescent="0.25">
      <c r="A17" s="1880" t="s">
        <v>1802</v>
      </c>
      <c r="B17" s="1907" t="s">
        <v>1793</v>
      </c>
      <c r="C17" s="1881" t="s">
        <v>1791</v>
      </c>
      <c r="D17" s="1882">
        <v>500000</v>
      </c>
      <c r="E17" s="1882" t="str">
        <f>IF(D17&lt;25000,D17,"25,000")</f>
        <v>25,000</v>
      </c>
      <c r="F17" s="1883">
        <f>IF(D17&gt;=25000,(D17-E17),"0")</f>
        <v>475000</v>
      </c>
    </row>
    <row r="18" spans="1:7" x14ac:dyDescent="0.25">
      <c r="A18" s="2036" t="s">
        <v>2128</v>
      </c>
      <c r="B18" s="1908">
        <v>402550300</v>
      </c>
      <c r="C18" s="2037" t="s">
        <v>2124</v>
      </c>
      <c r="D18" s="1886">
        <v>3770243</v>
      </c>
      <c r="E18" s="1906" t="str">
        <f t="shared" ref="E18:E81" si="0">IF(D18&lt;25000,D18,"25,000")</f>
        <v>25,000</v>
      </c>
      <c r="F18" s="1906">
        <f t="shared" ref="F18:F81" si="1">IF(D18&gt;=25000,(D18-E18),"0")</f>
        <v>3745243</v>
      </c>
      <c r="G18" s="1887"/>
    </row>
    <row r="19" spans="1:7" x14ac:dyDescent="0.25">
      <c r="A19" s="2036" t="s">
        <v>2125</v>
      </c>
      <c r="B19" s="1908">
        <v>202540300</v>
      </c>
      <c r="C19" s="2037" t="s">
        <v>2126</v>
      </c>
      <c r="D19" s="1886">
        <v>5771873</v>
      </c>
      <c r="E19" s="1906" t="str">
        <f t="shared" si="0"/>
        <v>25,000</v>
      </c>
      <c r="F19" s="1906">
        <f t="shared" si="1"/>
        <v>5746873</v>
      </c>
    </row>
    <row r="20" spans="1:7" x14ac:dyDescent="0.25">
      <c r="A20" s="2036" t="s">
        <v>2127</v>
      </c>
      <c r="B20" s="1908">
        <v>102560300</v>
      </c>
      <c r="C20" s="2037" t="s">
        <v>2129</v>
      </c>
      <c r="D20" s="1886">
        <v>2893651</v>
      </c>
      <c r="E20" s="1906" t="str">
        <f t="shared" si="0"/>
        <v>25,000</v>
      </c>
      <c r="F20" s="1906">
        <f t="shared" si="1"/>
        <v>2868651</v>
      </c>
    </row>
    <row r="21" spans="1:7" x14ac:dyDescent="0.25">
      <c r="A21" s="2036" t="s">
        <v>2130</v>
      </c>
      <c r="B21" s="1908">
        <v>101000300</v>
      </c>
      <c r="C21" s="2037" t="s">
        <v>2131</v>
      </c>
      <c r="D21" s="1886">
        <v>146952</v>
      </c>
      <c r="E21" s="1906" t="str">
        <f t="shared" si="0"/>
        <v>25,000</v>
      </c>
      <c r="F21" s="1906">
        <f t="shared" si="1"/>
        <v>121952</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12582719</v>
      </c>
      <c r="E142" s="1893">
        <f>SUM(E18:E141)</f>
        <v>0</v>
      </c>
      <c r="F142" s="1894">
        <f>SUM(F18:F141)</f>
        <v>12482719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0" t="s">
        <v>1657</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1888</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55724649</v>
      </c>
      <c r="F19" s="1802"/>
      <c r="G19" s="1804">
        <f>'Expenditures 15-22'!K33-SUM('Expenditures 15-22'!G33,'Expenditures 15-22'!I33)+'Expenditures 15-22'!D229</f>
        <v>55724649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8981039</v>
      </c>
      <c r="F21" s="1805"/>
      <c r="G21" s="1808">
        <f>'Expenditures 15-22'!K42-SUM('Expenditures 15-22'!G42,'Expenditures 15-22'!I42)+'Expenditures 15-22'!K120-SUM('Expenditures 15-22'!G120,'Expenditures 15-22'!I120)+'Expenditures 15-22'!K180-SUM('Expenditures 15-22'!G180,'Expenditures 15-22'!I180)+'Expenditures 15-22'!D238</f>
        <v>8981039</v>
      </c>
      <c r="H21" s="817"/>
      <c r="I21" s="157"/>
    </row>
    <row r="22" spans="1:9" s="542" customFormat="1" ht="12" customHeight="1" x14ac:dyDescent="0.2">
      <c r="A22" s="824" t="s">
        <v>560</v>
      </c>
      <c r="B22" s="825"/>
      <c r="C22" s="823">
        <v>2200</v>
      </c>
      <c r="D22" s="1805"/>
      <c r="E22" s="1807">
        <f>'Expenditures 15-22'!K47-SUM('Expenditures 15-22'!G47,'Expenditures 15-22'!I47)+'Expenditures 15-22'!D243</f>
        <v>1959127</v>
      </c>
      <c r="F22" s="1805"/>
      <c r="G22" s="1808">
        <f>'Expenditures 15-22'!K47-SUM('Expenditures 15-22'!G47,'Expenditures 15-22'!I47)+'Expenditures 15-22'!D243</f>
        <v>1959127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1157726</v>
      </c>
      <c r="F23" s="1805"/>
      <c r="G23" s="1807">
        <f>'Expenditures 15-22'!K53-SUM('Expenditures 15-22'!G53,'Expenditures 15-22'!I53)+'Expenditures 15-22'!D257+'Expenditures 15-22'!K330-SUM('Expenditures 15-22'!G330,'Expenditures 15-22'!I330)</f>
        <v>1157726</v>
      </c>
      <c r="H23" s="817"/>
      <c r="I23" s="157"/>
    </row>
    <row r="24" spans="1:9" s="542" customFormat="1" ht="12" customHeight="1" x14ac:dyDescent="0.2">
      <c r="A24" s="824" t="s">
        <v>562</v>
      </c>
      <c r="B24" s="825"/>
      <c r="C24" s="823">
        <v>2400</v>
      </c>
      <c r="D24" s="1805"/>
      <c r="E24" s="1807">
        <f>'Expenditures 15-22'!K57-SUM('Expenditures 15-22'!G57,'Expenditures 15-22'!I57)+'Expenditures 15-22'!D261</f>
        <v>1120764</v>
      </c>
      <c r="F24" s="1805"/>
      <c r="G24" s="1808">
        <f>'Expenditures 15-22'!K57-SUM('Expenditures 15-22'!G57,'Expenditures 15-22'!I57)+'Expenditures 15-22'!D261</f>
        <v>1120764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357427</v>
      </c>
      <c r="E26" s="1807">
        <f>'Expenditures 15-22'!K122-SUM('Expenditures 15-22'!G122,'Expenditures 15-22'!I122)+E7</f>
        <v>0</v>
      </c>
      <c r="F26" s="1807">
        <f>'Expenditures 15-22'!K59-SUM('Expenditures 15-22'!G59,'Expenditures 15-22'!I59)+'Expenditures 15-22'!D263-E7</f>
        <v>357427</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987217</v>
      </c>
      <c r="E27" s="1807">
        <f>E8</f>
        <v>0</v>
      </c>
      <c r="F27" s="1807">
        <f>'Expenditures 15-22'!K60-SUM('Expenditures 15-22'!G60,'Expenditures 15-22'!I60)+'Expenditures 15-22'!D264-E8</f>
        <v>987217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8630257</v>
      </c>
      <c r="F28" s="1809">
        <f>'Expenditures 15-22'!K61-SUM('Expenditures 15-22'!G61,'Expenditures 15-22'!I61)+'Expenditures 15-22'!K124-SUM('Expenditures 15-22'!G124,'Expenditures 15-22'!I124)+'Expenditures 15-22'!D266-E9</f>
        <v>8630257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4971372</v>
      </c>
      <c r="F29" s="1805"/>
      <c r="G29" s="1808">
        <f>'Expenditures 15-22'!K62-SUM('Expenditures 15-22'!G62,'Expenditures 15-22'!I62)+'Expenditures 15-22'!K125-SUM('Expenditures 15-22'!G125,'Expenditures 15-22'!I125)+'Expenditures 15-22'!K182-SUM('Expenditures 15-22'!G182,'Expenditures 15-22'!I182)+'Expenditures 15-22'!D267</f>
        <v>4971372</v>
      </c>
      <c r="H29" s="815"/>
    </row>
    <row r="30" spans="1:9" ht="12" customHeight="1" x14ac:dyDescent="0.2">
      <c r="A30" s="824" t="s">
        <v>100</v>
      </c>
      <c r="B30" s="827"/>
      <c r="C30" s="823">
        <v>2560</v>
      </c>
      <c r="D30" s="1805"/>
      <c r="E30" s="1807">
        <f>'Expenditures 15-22'!K63-SUM('Expenditures 15-22'!G63,'Expenditures 15-22'!I63)+'Expenditures 15-22'!D268-E10</f>
        <v>2580594</v>
      </c>
      <c r="F30" s="1805"/>
      <c r="G30" s="1807">
        <f>'Expenditures 15-22'!K63-SUM('Expenditures 15-22'!G63,'Expenditures 15-22'!I63)+'Expenditures 15-22'!D268-E10</f>
        <v>2580594</v>
      </c>
    </row>
    <row r="31" spans="1:9" ht="12" customHeight="1" x14ac:dyDescent="0.2">
      <c r="A31" s="824" t="s">
        <v>101</v>
      </c>
      <c r="B31" s="827"/>
      <c r="C31" s="823">
        <v>2570</v>
      </c>
      <c r="D31" s="1807">
        <f>'Expenditures 15-22'!K64-SUM('Expenditures 15-22'!G64,'Expenditures 15-22'!I64)+'Expenditures 15-22'!D269-E12</f>
        <v>926019</v>
      </c>
      <c r="E31" s="1807">
        <f>E12</f>
        <v>0</v>
      </c>
      <c r="F31" s="1807">
        <f>'Expenditures 15-22'!K64-SUM('Expenditures 15-22'!G64,'Expenditures 15-22'!I64)+'Expenditures 15-22'!D269-E12</f>
        <v>926019</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3883707</v>
      </c>
      <c r="F34" s="1805"/>
      <c r="G34" s="1807">
        <f>'Expenditures 15-22'!K68-SUM('Expenditures 15-22'!G68,'Expenditures 15-22'!I68)+'Expenditures 15-22'!D273</f>
        <v>3883707</v>
      </c>
    </row>
    <row r="35" spans="1:7" ht="12" customHeight="1" x14ac:dyDescent="0.2">
      <c r="A35" s="824" t="s">
        <v>1051</v>
      </c>
      <c r="B35" s="827"/>
      <c r="C35" s="823">
        <v>2630</v>
      </c>
      <c r="D35" s="1805"/>
      <c r="E35" s="1807">
        <f>'Expenditures 15-22'!K69-SUM('Expenditures 15-22'!G69,'Expenditures 15-22'!I69)+'Expenditures 15-22'!D274</f>
        <v>3484257</v>
      </c>
      <c r="F35" s="1805"/>
      <c r="G35" s="1807">
        <f>'Expenditures 15-22'!K69-SUM('Expenditures 15-22'!G69,'Expenditures 15-22'!I69)+'Expenditures 15-22'!D274</f>
        <v>3484257</v>
      </c>
    </row>
    <row r="36" spans="1:7" ht="12" customHeight="1" x14ac:dyDescent="0.2">
      <c r="A36" s="824" t="s">
        <v>400</v>
      </c>
      <c r="B36" s="827"/>
      <c r="C36" s="823">
        <v>2640</v>
      </c>
      <c r="D36" s="1807">
        <f>'Expenditures 15-22'!K70-SUM('Expenditures 15-22'!G70,'Expenditures 15-22'!I70)+'Expenditures 15-22'!D275-E13</f>
        <v>626991</v>
      </c>
      <c r="E36" s="1807">
        <f>E13</f>
        <v>0</v>
      </c>
      <c r="F36" s="1807">
        <f>'Expenditures 15-22'!K70-SUM('Expenditures 15-22'!G70,'Expenditures 15-22'!I70)+'Expenditures 15-22'!D275-E13</f>
        <v>626991</v>
      </c>
      <c r="G36" s="1807">
        <f>E13</f>
        <v>0</v>
      </c>
    </row>
    <row r="37" spans="1:7" ht="12" customHeight="1" x14ac:dyDescent="0.2">
      <c r="A37" s="824" t="s">
        <v>401</v>
      </c>
      <c r="B37" s="827"/>
      <c r="C37" s="823">
        <v>2660</v>
      </c>
      <c r="D37" s="1807">
        <f>'Expenditures 15-22'!K71-SUM('Expenditures 15-22'!G71,'Expenditures 15-22'!I71)+'Expenditures 15-22'!D276-E14</f>
        <v>215932</v>
      </c>
      <c r="E37" s="1807">
        <f>E14</f>
        <v>0</v>
      </c>
      <c r="F37" s="1807">
        <f>'Expenditures 15-22'!K71-SUM('Expenditures 15-22'!G71,'Expenditures 15-22'!I71)+'Expenditures 15-22'!D276-E14</f>
        <v>215932</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3067486</v>
      </c>
      <c r="F39" s="1805"/>
      <c r="G39" s="1807">
        <f>'Expenditures 15-22'!K75-SUM('Expenditures 15-22'!G75,'Expenditures 15-22'!I75)+'Expenditures 15-22'!K130-SUM('Expenditures 15-22'!G130,'Expenditures 15-22'!I130)+'Expenditures 15-22'!K185-SUM('Expenditures 15-22'!G185,'Expenditures 15-22'!I185)+'Expenditures 15-22'!D280</f>
        <v>3067486</v>
      </c>
    </row>
    <row r="40" spans="1:7" ht="12" customHeight="1" x14ac:dyDescent="0.2">
      <c r="A40" s="820" t="s">
        <v>1792</v>
      </c>
      <c r="B40" s="821"/>
      <c r="C40" s="823"/>
      <c r="D40" s="1805"/>
      <c r="E40" s="1809">
        <f>-'Contracts Paid in CY 29'!F142</f>
        <v>-12482719</v>
      </c>
      <c r="F40" s="1805"/>
      <c r="G40" s="1809">
        <f>-'Contracts Paid in CY 29'!F142</f>
        <v>-12482719</v>
      </c>
    </row>
    <row r="41" spans="1:7" ht="12" customHeight="1" x14ac:dyDescent="0.2">
      <c r="A41" s="828" t="s">
        <v>155</v>
      </c>
      <c r="B41" s="829"/>
      <c r="C41" s="830"/>
      <c r="D41" s="1809">
        <f>SUM(D19:D39)</f>
        <v>3113586</v>
      </c>
      <c r="E41" s="1809">
        <f>SUM(E19:E40)</f>
        <v>83078259</v>
      </c>
      <c r="F41" s="1809">
        <f>SUM(F19:F39)</f>
        <v>11743843</v>
      </c>
      <c r="G41" s="1809">
        <f>SUM(G19:G40)</f>
        <v>74448002</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3113586</v>
      </c>
      <c r="F43" s="1458" t="s">
        <v>470</v>
      </c>
      <c r="G43" s="1810">
        <f>F41</f>
        <v>11743843</v>
      </c>
    </row>
    <row r="44" spans="1:7" ht="12" customHeight="1" x14ac:dyDescent="0.2">
      <c r="A44" s="817"/>
      <c r="B44" s="157"/>
      <c r="C44" s="831"/>
      <c r="D44" s="1458" t="s">
        <v>471</v>
      </c>
      <c r="E44" s="1810">
        <f>E41</f>
        <v>83078259</v>
      </c>
      <c r="F44" s="1458" t="s">
        <v>471</v>
      </c>
      <c r="G44" s="1810">
        <f>G41</f>
        <v>74448002</v>
      </c>
    </row>
    <row r="45" spans="1:7" ht="12" customHeight="1" x14ac:dyDescent="0.2">
      <c r="A45" s="817"/>
      <c r="B45" s="157"/>
      <c r="C45" s="157"/>
      <c r="D45" s="1459" t="s">
        <v>998</v>
      </c>
      <c r="E45" s="1811">
        <f>(E43/E44)</f>
        <v>3.7477747337001849E-2</v>
      </c>
      <c r="F45" s="1459" t="s">
        <v>998</v>
      </c>
      <c r="G45" s="1811">
        <f>(G43/G44)</f>
        <v>0.15774557657034236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K24" sqref="K2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1360</v>
      </c>
      <c r="B1" s="2401"/>
      <c r="C1" s="2401"/>
      <c r="D1" s="2401"/>
      <c r="E1" s="2401"/>
      <c r="F1" s="2401"/>
    </row>
    <row r="2" spans="1:15" x14ac:dyDescent="0.2">
      <c r="A2" s="1513" t="s">
        <v>1872</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1526</v>
      </c>
      <c r="B5" s="2403"/>
      <c r="C5" s="2404"/>
      <c r="D5" s="2404"/>
      <c r="E5" s="2404"/>
      <c r="F5" s="2404"/>
      <c r="G5" s="1507"/>
      <c r="L5" s="1507"/>
      <c r="M5" s="1855"/>
      <c r="N5" s="1855"/>
      <c r="O5" s="1855"/>
    </row>
    <row r="6" spans="1:15" ht="12" customHeight="1" x14ac:dyDescent="0.25">
      <c r="A6" s="1480"/>
      <c r="B6" s="1481"/>
      <c r="C6" s="2405" t="str">
        <f>COVER!A17</f>
        <v xml:space="preserve"> Adlai E Stevenson Dist 125</v>
      </c>
      <c r="D6" s="2405"/>
      <c r="E6" s="2405"/>
      <c r="F6" s="1482"/>
      <c r="G6" s="1507"/>
      <c r="L6" s="1507"/>
      <c r="M6" s="1855"/>
      <c r="N6" s="1855"/>
      <c r="O6" s="1855"/>
    </row>
    <row r="7" spans="1:15" ht="11.25" customHeight="1" thickBot="1" x14ac:dyDescent="0.3">
      <c r="A7" s="1480"/>
      <c r="B7" s="1481"/>
      <c r="C7" s="2406">
        <f>COVER!A13</f>
        <v>34049125013</v>
      </c>
      <c r="D7" s="2406"/>
      <c r="E7" s="2406"/>
      <c r="F7" s="1482"/>
      <c r="G7" s="1507"/>
      <c r="L7" s="1507"/>
      <c r="M7" s="1855"/>
      <c r="N7" s="1855"/>
      <c r="O7" s="1855"/>
    </row>
    <row r="8" spans="1:15" ht="25.5" customHeight="1" thickBot="1" x14ac:dyDescent="0.25">
      <c r="A8" s="1519" t="s">
        <v>1868</v>
      </c>
      <c r="B8" s="1483"/>
      <c r="C8" s="1515" t="s">
        <v>1659</v>
      </c>
      <c r="D8" s="1514" t="s">
        <v>1660</v>
      </c>
      <c r="E8" s="1516" t="s">
        <v>1361</v>
      </c>
      <c r="F8" s="1514" t="s">
        <v>1661</v>
      </c>
      <c r="G8" s="1507"/>
      <c r="H8" s="1484" t="b">
        <v>0</v>
      </c>
      <c r="L8" s="1507"/>
      <c r="M8" s="1855"/>
      <c r="N8" s="1855"/>
      <c r="O8" s="1855"/>
    </row>
    <row r="9" spans="1:15" ht="15.75" customHeight="1" x14ac:dyDescent="0.2">
      <c r="A9" s="1485" t="s">
        <v>1522</v>
      </c>
      <c r="B9" s="1486"/>
      <c r="C9" s="1487"/>
      <c r="D9" s="1487"/>
      <c r="E9" s="1488"/>
      <c r="F9" s="1489"/>
      <c r="G9" s="1507"/>
      <c r="L9" s="1507"/>
      <c r="M9" s="1855"/>
      <c r="N9" s="1855"/>
      <c r="O9" s="1855"/>
    </row>
    <row r="10" spans="1:15" ht="27.75" customHeight="1" x14ac:dyDescent="0.2">
      <c r="A10" s="1490" t="s">
        <v>1658</v>
      </c>
      <c r="B10" s="1491"/>
      <c r="C10" s="1492"/>
      <c r="D10" s="1492"/>
      <c r="E10" s="1517" t="s">
        <v>1362</v>
      </c>
      <c r="F10" s="1518" t="s">
        <v>1363</v>
      </c>
      <c r="G10" s="1507"/>
      <c r="L10" s="1507"/>
      <c r="M10" s="1855"/>
      <c r="N10" s="1855"/>
      <c r="O10" s="1855"/>
    </row>
    <row r="11" spans="1:15" ht="12" customHeight="1" x14ac:dyDescent="0.2">
      <c r="A11" s="1493" t="s">
        <v>1364</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1365</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1366</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1367</v>
      </c>
      <c r="B14" s="1494"/>
      <c r="C14" s="1495" t="s">
        <v>2042</v>
      </c>
      <c r="D14" s="1495" t="s">
        <v>2042</v>
      </c>
      <c r="E14" s="1498"/>
      <c r="F14" s="1497" t="s">
        <v>2109</v>
      </c>
      <c r="G14" s="1507"/>
      <c r="H14" s="1507">
        <f t="shared" si="0"/>
        <v>5</v>
      </c>
      <c r="I14" s="1507">
        <f t="shared" si="1"/>
        <v>5</v>
      </c>
      <c r="J14" s="1507">
        <f t="shared" si="2"/>
        <v>0</v>
      </c>
      <c r="L14" s="1507"/>
      <c r="M14" s="1855"/>
      <c r="N14" s="1855"/>
      <c r="O14" s="1855"/>
    </row>
    <row r="15" spans="1:15" ht="12" customHeight="1" x14ac:dyDescent="0.2">
      <c r="A15" s="1493" t="s">
        <v>1368</v>
      </c>
      <c r="B15" s="1494"/>
      <c r="C15" s="1495" t="s">
        <v>2042</v>
      </c>
      <c r="D15" s="1495" t="s">
        <v>2042</v>
      </c>
      <c r="E15" s="1498"/>
      <c r="F15" s="1497" t="s">
        <v>2110</v>
      </c>
      <c r="G15" s="1507"/>
      <c r="H15" s="1507">
        <f t="shared" si="0"/>
        <v>5</v>
      </c>
      <c r="I15" s="1507">
        <f t="shared" si="1"/>
        <v>5</v>
      </c>
      <c r="J15" s="1507">
        <f t="shared" si="2"/>
        <v>0</v>
      </c>
      <c r="L15" s="1507"/>
      <c r="M15" s="1855"/>
      <c r="N15" s="1855"/>
      <c r="O15" s="1855"/>
    </row>
    <row r="16" spans="1:15" ht="12" customHeight="1" x14ac:dyDescent="0.2">
      <c r="A16" s="1493" t="s">
        <v>1369</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1370</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1371</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1507</v>
      </c>
      <c r="B19" s="1494"/>
      <c r="C19" s="1495" t="s">
        <v>2042</v>
      </c>
      <c r="D19" s="1495" t="s">
        <v>2042</v>
      </c>
      <c r="E19" s="1498"/>
      <c r="F19" s="1497" t="s">
        <v>2111</v>
      </c>
      <c r="G19" s="1507"/>
      <c r="H19" s="1507">
        <f t="shared" si="0"/>
        <v>5</v>
      </c>
      <c r="I19" s="1507">
        <f t="shared" si="1"/>
        <v>5</v>
      </c>
      <c r="J19" s="1507">
        <f t="shared" si="2"/>
        <v>0</v>
      </c>
      <c r="L19" s="1507"/>
      <c r="M19" s="1855"/>
      <c r="N19" s="1855"/>
      <c r="O19" s="1855"/>
    </row>
    <row r="20" spans="1:15" ht="12" customHeight="1" x14ac:dyDescent="0.2">
      <c r="A20" s="1493" t="s">
        <v>1508</v>
      </c>
      <c r="B20" s="1494"/>
      <c r="C20" s="1495" t="s">
        <v>2042</v>
      </c>
      <c r="D20" s="1495" t="s">
        <v>2042</v>
      </c>
      <c r="E20" s="1498"/>
      <c r="F20" s="1497" t="s">
        <v>2112</v>
      </c>
      <c r="G20" s="1507"/>
      <c r="H20" s="1507">
        <f t="shared" si="0"/>
        <v>5</v>
      </c>
      <c r="I20" s="1507">
        <f t="shared" si="1"/>
        <v>5</v>
      </c>
      <c r="J20" s="1507">
        <f t="shared" si="2"/>
        <v>0</v>
      </c>
      <c r="L20" s="1507"/>
      <c r="M20" s="1855"/>
      <c r="N20" s="1855"/>
      <c r="O20" s="1855"/>
    </row>
    <row r="21" spans="1:15" ht="12" customHeight="1" x14ac:dyDescent="0.2">
      <c r="A21" s="1493" t="s">
        <v>1509</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1510</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1511</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1512</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1513</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1514</v>
      </c>
      <c r="B26" s="1494"/>
      <c r="C26" s="1495" t="s">
        <v>2042</v>
      </c>
      <c r="D26" s="1495" t="s">
        <v>2042</v>
      </c>
      <c r="E26" s="1498"/>
      <c r="F26" s="1497" t="s">
        <v>2113</v>
      </c>
      <c r="G26" s="1507"/>
      <c r="H26" s="1507">
        <f t="shared" si="0"/>
        <v>5</v>
      </c>
      <c r="I26" s="1507">
        <f t="shared" si="1"/>
        <v>5</v>
      </c>
      <c r="J26" s="1507">
        <f t="shared" si="2"/>
        <v>0</v>
      </c>
      <c r="L26" s="1507"/>
      <c r="M26" s="1855"/>
      <c r="N26" s="1855"/>
      <c r="O26" s="1855"/>
    </row>
    <row r="27" spans="1:15" ht="18.75" x14ac:dyDescent="0.2">
      <c r="A27" s="1493" t="s">
        <v>1515</v>
      </c>
      <c r="B27" s="1494"/>
      <c r="C27" s="1495" t="s">
        <v>2042</v>
      </c>
      <c r="D27" s="1495" t="s">
        <v>2042</v>
      </c>
      <c r="E27" s="1498"/>
      <c r="F27" s="1497" t="s">
        <v>2114</v>
      </c>
      <c r="G27" s="1507"/>
      <c r="H27" s="1507">
        <f t="shared" si="0"/>
        <v>5</v>
      </c>
      <c r="I27" s="1507">
        <f t="shared" si="1"/>
        <v>5</v>
      </c>
      <c r="J27" s="1507">
        <f t="shared" si="2"/>
        <v>0</v>
      </c>
      <c r="L27" s="1507"/>
      <c r="M27" s="1855"/>
      <c r="N27" s="1855"/>
      <c r="O27" s="1855"/>
    </row>
    <row r="28" spans="1:15" ht="12" customHeight="1" x14ac:dyDescent="0.2">
      <c r="A28" s="1493" t="s">
        <v>1516</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1517</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1518</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1519</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1520</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1521</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30</v>
      </c>
      <c r="J34" s="1507">
        <f>SUM(J11:J32)</f>
        <v>0</v>
      </c>
      <c r="K34" s="1507">
        <f>SUM(H34:J34)</f>
        <v>60</v>
      </c>
      <c r="L34" s="1507"/>
      <c r="M34" s="1855"/>
      <c r="N34" s="1855"/>
      <c r="O34" s="1855"/>
    </row>
    <row r="35" spans="1:15" ht="12" customHeight="1" x14ac:dyDescent="0.2">
      <c r="A35" s="1500" t="s">
        <v>1373</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1372</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M68" sqref="M68"/>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1996</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1020</v>
      </c>
      <c r="J6" s="2421" t="str">
        <f>COVER!A17</f>
        <v xml:space="preserve"> Adlai E Stevenson Dist 125</v>
      </c>
      <c r="K6" s="2421"/>
      <c r="L6" s="2422"/>
      <c r="M6" s="838"/>
      <c r="N6" s="1998"/>
    </row>
    <row r="7" spans="1:14" x14ac:dyDescent="0.2">
      <c r="A7" s="2423" t="s">
        <v>863</v>
      </c>
      <c r="B7" s="2424"/>
      <c r="C7" s="2424"/>
      <c r="D7" s="2424"/>
      <c r="E7" s="2425"/>
      <c r="F7" s="839"/>
      <c r="G7" s="838"/>
      <c r="H7" s="838"/>
      <c r="I7" s="1924" t="s">
        <v>369</v>
      </c>
      <c r="J7" s="2426">
        <f>COVER!A13</f>
        <v>34049125013</v>
      </c>
      <c r="K7" s="2426"/>
      <c r="L7" s="242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2012</v>
      </c>
      <c r="F9" s="1857"/>
      <c r="G9" s="1857"/>
      <c r="H9" s="1857"/>
      <c r="I9" s="1929" t="s">
        <v>2013</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7" t="s">
        <v>478</v>
      </c>
      <c r="B11" s="2428"/>
      <c r="C11" s="2429"/>
      <c r="D11" s="1937" t="s">
        <v>865</v>
      </c>
      <c r="E11" s="1937" t="s">
        <v>64</v>
      </c>
      <c r="F11" s="1937" t="s">
        <v>6</v>
      </c>
      <c r="G11" s="1938" t="s">
        <v>2014</v>
      </c>
      <c r="H11" s="1939" t="s">
        <v>155</v>
      </c>
      <c r="I11" s="1937" t="s">
        <v>64</v>
      </c>
      <c r="J11" s="1937" t="s">
        <v>6</v>
      </c>
      <c r="K11" s="1938" t="s">
        <v>1995</v>
      </c>
      <c r="L11" s="1939" t="s">
        <v>155</v>
      </c>
      <c r="M11" s="838"/>
      <c r="N11" s="1998"/>
    </row>
    <row r="12" spans="1:14" x14ac:dyDescent="0.2">
      <c r="A12" s="2003">
        <v>1</v>
      </c>
      <c r="B12" s="1940" t="s">
        <v>812</v>
      </c>
      <c r="C12" s="842"/>
      <c r="D12" s="1941">
        <v>2320</v>
      </c>
      <c r="E12" s="1944">
        <f>'Expenditures 15-22'!K50</f>
        <v>448101</v>
      </c>
      <c r="F12" s="1942"/>
      <c r="G12" s="1968">
        <f>G68</f>
        <v>0</v>
      </c>
      <c r="H12" s="1944">
        <f t="shared" ref="H12:H18" si="0">SUM(E12:G12)</f>
        <v>448101</v>
      </c>
      <c r="I12" s="1943">
        <v>499900</v>
      </c>
      <c r="J12" s="1942"/>
      <c r="K12" s="1943"/>
      <c r="L12" s="1944">
        <f t="shared" ref="L12:L18" si="1">SUM(I12:K12)</f>
        <v>499900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583226</v>
      </c>
      <c r="F14" s="1942"/>
      <c r="G14" s="1968">
        <f>I68</f>
        <v>0</v>
      </c>
      <c r="H14" s="1944">
        <f t="shared" si="0"/>
        <v>583226</v>
      </c>
      <c r="I14" s="1943">
        <v>608300</v>
      </c>
      <c r="J14" s="1942"/>
      <c r="K14" s="1943"/>
      <c r="L14" s="1944">
        <f t="shared" si="1"/>
        <v>608300</v>
      </c>
      <c r="M14" s="838"/>
      <c r="N14" s="1998"/>
    </row>
    <row r="15" spans="1:14" x14ac:dyDescent="0.2">
      <c r="A15" s="2003">
        <v>4</v>
      </c>
      <c r="B15" s="1940" t="s">
        <v>1058</v>
      </c>
      <c r="C15" s="842"/>
      <c r="D15" s="1941">
        <v>2510</v>
      </c>
      <c r="E15" s="1944">
        <f>'Expenditures 15-22'!K59</f>
        <v>357427</v>
      </c>
      <c r="F15" s="1944">
        <f>'Expenditures 15-22'!K122</f>
        <v>0</v>
      </c>
      <c r="G15" s="1968">
        <f>J68</f>
        <v>0</v>
      </c>
      <c r="H15" s="1944">
        <f t="shared" si="0"/>
        <v>357427</v>
      </c>
      <c r="I15" s="1943">
        <v>373800</v>
      </c>
      <c r="J15" s="1943"/>
      <c r="K15" s="1943"/>
      <c r="L15" s="1944">
        <f t="shared" si="1"/>
        <v>373800</v>
      </c>
      <c r="M15" s="838"/>
      <c r="N15" s="1998"/>
    </row>
    <row r="16" spans="1:14" x14ac:dyDescent="0.2">
      <c r="A16" s="2003">
        <v>5</v>
      </c>
      <c r="B16" s="1940" t="s">
        <v>101</v>
      </c>
      <c r="C16" s="842"/>
      <c r="D16" s="1941">
        <v>2570</v>
      </c>
      <c r="E16" s="1944">
        <f>'Expenditures 15-22'!K64</f>
        <v>926019</v>
      </c>
      <c r="F16" s="1942"/>
      <c r="G16" s="1968">
        <f>K68</f>
        <v>0</v>
      </c>
      <c r="H16" s="1944">
        <f t="shared" si="0"/>
        <v>926019</v>
      </c>
      <c r="I16" s="1943">
        <v>920000</v>
      </c>
      <c r="J16" s="1942"/>
      <c r="K16" s="1943"/>
      <c r="L16" s="1944">
        <f t="shared" si="1"/>
        <v>920000</v>
      </c>
      <c r="M16" s="838"/>
      <c r="N16" s="1998"/>
    </row>
    <row r="17" spans="1:14" x14ac:dyDescent="0.2">
      <c r="A17" s="2003">
        <v>6</v>
      </c>
      <c r="B17" s="1940" t="s">
        <v>1050</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0" t="s">
        <v>7</v>
      </c>
      <c r="C18" s="2431"/>
      <c r="D18" s="2432"/>
      <c r="E18" s="1946"/>
      <c r="F18" s="1946"/>
      <c r="G18" s="1943"/>
      <c r="H18" s="1947">
        <f t="shared" si="0"/>
        <v>0</v>
      </c>
      <c r="I18" s="1943"/>
      <c r="J18" s="1943"/>
      <c r="K18" s="1943"/>
      <c r="L18" s="1944">
        <f t="shared" si="1"/>
        <v>0</v>
      </c>
      <c r="M18" s="838"/>
      <c r="N18" s="1998"/>
    </row>
    <row r="19" spans="1:14" ht="13.5" thickBot="1" x14ac:dyDescent="0.25">
      <c r="A19" s="2003">
        <v>8</v>
      </c>
      <c r="B19" s="1948" t="s">
        <v>1150</v>
      </c>
      <c r="C19" s="838"/>
      <c r="D19" s="1949"/>
      <c r="E19" s="1950">
        <f t="shared" ref="E19:L19" si="2">SUM(E12:E17)-E18</f>
        <v>2314773</v>
      </c>
      <c r="F19" s="1950">
        <f t="shared" si="2"/>
        <v>0</v>
      </c>
      <c r="G19" s="1950">
        <f t="shared" ref="G19" si="3">SUM(G12:G17)-G18</f>
        <v>0</v>
      </c>
      <c r="H19" s="1950">
        <f t="shared" si="2"/>
        <v>2314773</v>
      </c>
      <c r="I19" s="1950">
        <f t="shared" si="2"/>
        <v>2402000</v>
      </c>
      <c r="J19" s="1950">
        <f t="shared" si="2"/>
        <v>0</v>
      </c>
      <c r="K19" s="1950">
        <f t="shared" si="2"/>
        <v>0</v>
      </c>
      <c r="L19" s="1950">
        <f t="shared" si="2"/>
        <v>2402000</v>
      </c>
      <c r="M19" s="838"/>
      <c r="N19" s="1998"/>
    </row>
    <row r="20" spans="1:14" ht="13.5" thickTop="1" x14ac:dyDescent="0.2">
      <c r="A20" s="2003">
        <v>9</v>
      </c>
      <c r="B20" s="2433" t="s">
        <v>2015</v>
      </c>
      <c r="C20" s="2433"/>
      <c r="D20" s="2434"/>
      <c r="E20" s="1951"/>
      <c r="F20" s="1951"/>
      <c r="G20" s="1951"/>
      <c r="H20" s="1951"/>
      <c r="I20" s="1951"/>
      <c r="J20" s="1951"/>
      <c r="K20" s="1951"/>
      <c r="L20" s="1952">
        <f>IF(AND(H19&gt;0,L19&gt;0),(((L19-H19)/H19)),"Enter Budget Data")</f>
        <v>3.7682744701100279E-2</v>
      </c>
      <c r="M20" s="838"/>
      <c r="N20" s="1998"/>
    </row>
    <row r="21" spans="1:14" x14ac:dyDescent="0.2">
      <c r="A21" s="2005" t="s">
        <v>194</v>
      </c>
      <c r="B21" s="2006" t="s">
        <v>2040</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2016</v>
      </c>
      <c r="B24" s="2010"/>
      <c r="C24" s="2011"/>
      <c r="D24" s="2011"/>
      <c r="E24" s="2011"/>
      <c r="F24" s="2011"/>
      <c r="G24" s="2011"/>
      <c r="H24" s="2011"/>
      <c r="I24" s="2011"/>
      <c r="J24" s="2011"/>
      <c r="K24" s="2011"/>
      <c r="L24" s="838"/>
      <c r="M24" s="838"/>
      <c r="N24" s="1998"/>
    </row>
    <row r="25" spans="1:14" x14ac:dyDescent="0.2">
      <c r="A25" s="2009" t="s">
        <v>2017</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5"/>
      <c r="D27" s="2435"/>
      <c r="E27" s="843"/>
      <c r="F27" s="2436"/>
      <c r="G27" s="2436"/>
      <c r="H27" s="2436"/>
      <c r="I27" s="838"/>
      <c r="J27" s="838"/>
      <c r="K27" s="838"/>
      <c r="L27" s="838"/>
      <c r="M27" s="838"/>
      <c r="N27" s="1998"/>
    </row>
    <row r="28" spans="1:14" x14ac:dyDescent="0.2">
      <c r="A28" s="1997"/>
      <c r="B28" s="2007"/>
      <c r="C28" s="1957" t="s">
        <v>1025</v>
      </c>
      <c r="D28" s="844"/>
      <c r="E28" s="1958"/>
      <c r="F28" s="2437" t="s">
        <v>1489</v>
      </c>
      <c r="G28" s="2437"/>
      <c r="H28" s="2437"/>
      <c r="I28" s="838"/>
      <c r="J28" s="838"/>
      <c r="K28" s="838"/>
      <c r="L28" s="838"/>
      <c r="M28" s="838"/>
      <c r="N28" s="1998"/>
    </row>
    <row r="29" spans="1:14" x14ac:dyDescent="0.2">
      <c r="A29" s="1997"/>
      <c r="B29" s="2007"/>
      <c r="C29" s="2438"/>
      <c r="D29" s="2438"/>
      <c r="E29" s="845"/>
      <c r="F29" s="2438"/>
      <c r="G29" s="2438"/>
      <c r="H29" s="2438"/>
      <c r="I29" s="838"/>
      <c r="J29" s="838"/>
      <c r="K29" s="838"/>
      <c r="L29" s="838"/>
      <c r="M29" s="838"/>
      <c r="N29" s="1998"/>
    </row>
    <row r="30" spans="1:14" x14ac:dyDescent="0.2">
      <c r="A30" s="1997"/>
      <c r="B30" s="2007"/>
      <c r="C30" s="1960" t="s">
        <v>1541</v>
      </c>
      <c r="D30" s="838"/>
      <c r="E30" s="1959"/>
      <c r="F30" s="2420" t="s">
        <v>1490</v>
      </c>
      <c r="G30" s="2420"/>
      <c r="H30" s="242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1" t="s">
        <v>2018</v>
      </c>
      <c r="D34" s="2442"/>
      <c r="E34" s="2442"/>
      <c r="F34" s="2442"/>
      <c r="G34" s="2442"/>
      <c r="H34" s="2442"/>
      <c r="I34" s="2442"/>
      <c r="J34" s="2442"/>
      <c r="K34" s="2016"/>
      <c r="L34" s="838"/>
      <c r="M34" s="838"/>
      <c r="N34" s="1998"/>
    </row>
    <row r="35" spans="1:14" x14ac:dyDescent="0.2">
      <c r="A35" s="1997"/>
      <c r="B35" s="838"/>
      <c r="C35" s="2442"/>
      <c r="D35" s="2442"/>
      <c r="E35" s="2442"/>
      <c r="F35" s="2442"/>
      <c r="G35" s="2442"/>
      <c r="H35" s="2442"/>
      <c r="I35" s="2442"/>
      <c r="J35" s="244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1" t="s">
        <v>2019</v>
      </c>
      <c r="D37" s="2442"/>
      <c r="E37" s="2442"/>
      <c r="F37" s="2442"/>
      <c r="G37" s="2442"/>
      <c r="H37" s="2442"/>
      <c r="I37" s="2442"/>
      <c r="J37" s="2442"/>
      <c r="K37" s="2016"/>
      <c r="L37" s="2018"/>
      <c r="M37" s="838"/>
      <c r="N37" s="1998"/>
    </row>
    <row r="38" spans="1:14" x14ac:dyDescent="0.2">
      <c r="A38" s="1997"/>
      <c r="B38" s="838"/>
      <c r="C38" s="2442"/>
      <c r="D38" s="2442"/>
      <c r="E38" s="2442"/>
      <c r="F38" s="2442"/>
      <c r="G38" s="2442"/>
      <c r="H38" s="2442"/>
      <c r="I38" s="2442"/>
      <c r="J38" s="244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3" t="s">
        <v>2020</v>
      </c>
      <c r="D40" s="2444"/>
      <c r="E40" s="2444"/>
      <c r="F40" s="2444"/>
      <c r="G40" s="2444"/>
      <c r="H40" s="2444"/>
      <c r="I40" s="2444"/>
      <c r="J40" s="244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5" t="s">
        <v>2021</v>
      </c>
      <c r="B43" s="2446"/>
      <c r="C43" s="2446"/>
      <c r="D43" s="2446"/>
      <c r="E43" s="2446"/>
      <c r="F43" s="2446"/>
      <c r="G43" s="2446"/>
      <c r="H43" s="2446"/>
      <c r="I43" s="2446"/>
      <c r="J43" s="2446"/>
      <c r="K43" s="2446"/>
      <c r="L43" s="2446"/>
      <c r="M43" s="2446"/>
      <c r="N43" s="244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2022</v>
      </c>
      <c r="B45" s="1983"/>
      <c r="C45" s="1983"/>
      <c r="D45" s="1983"/>
      <c r="E45" s="1983"/>
      <c r="F45" s="1983"/>
      <c r="G45" s="1983"/>
      <c r="H45" s="1983"/>
      <c r="I45" s="1983"/>
      <c r="J45" s="1983"/>
      <c r="K45" s="1983"/>
      <c r="L45" s="1983"/>
      <c r="M45" s="1983"/>
      <c r="N45" s="1984"/>
    </row>
    <row r="46" spans="1:14" x14ac:dyDescent="0.2">
      <c r="A46" s="2448" t="s">
        <v>2023</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2039</v>
      </c>
      <c r="B49" s="2024"/>
      <c r="C49" s="2024"/>
      <c r="D49" s="2025"/>
      <c r="E49" s="2025"/>
      <c r="F49" s="2025"/>
      <c r="G49" s="2025"/>
      <c r="H49" s="2025"/>
      <c r="I49" s="2025"/>
      <c r="J49" s="2025"/>
      <c r="K49" s="2025"/>
      <c r="L49" s="2025"/>
      <c r="M49" s="2025"/>
      <c r="N49" s="2026"/>
    </row>
    <row r="50" spans="1:14" ht="15" x14ac:dyDescent="0.25">
      <c r="A50" s="2028" t="s">
        <v>2038</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421" t="str">
        <f>J6</f>
        <v xml:space="preserve"> Adlai E Stevenson Dist 125</v>
      </c>
      <c r="M52" s="2421"/>
      <c r="N52" s="2451"/>
    </row>
    <row r="53" spans="1:14" x14ac:dyDescent="0.2">
      <c r="A53" s="1982"/>
      <c r="B53" s="1983"/>
      <c r="C53" s="1983"/>
      <c r="D53" s="1983"/>
      <c r="E53" s="1983"/>
      <c r="F53" s="1983"/>
      <c r="G53" s="1983"/>
      <c r="H53" s="1983"/>
      <c r="I53" s="1983"/>
      <c r="J53" s="1983"/>
      <c r="K53" s="1924" t="s">
        <v>369</v>
      </c>
      <c r="L53" s="2426">
        <f>J7</f>
        <v>34049125013</v>
      </c>
      <c r="M53" s="2426"/>
      <c r="N53" s="245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3"/>
      <c r="B55" s="2454"/>
      <c r="C55" s="2454"/>
      <c r="D55" s="1970"/>
      <c r="E55" s="1970"/>
      <c r="F55" s="1970"/>
      <c r="G55" s="2455" t="s">
        <v>2024</v>
      </c>
      <c r="H55" s="2455"/>
      <c r="I55" s="2455"/>
      <c r="J55" s="2455"/>
      <c r="K55" s="2455"/>
      <c r="L55" s="2455"/>
      <c r="M55" s="2455"/>
      <c r="N55" s="2456"/>
    </row>
    <row r="56" spans="1:14" ht="63.75" x14ac:dyDescent="0.2">
      <c r="A56" s="2457" t="s">
        <v>2025</v>
      </c>
      <c r="B56" s="2458"/>
      <c r="C56" s="2459"/>
      <c r="D56" s="1964" t="s">
        <v>2026</v>
      </c>
      <c r="E56" s="1964" t="s">
        <v>2027</v>
      </c>
      <c r="F56" s="1971"/>
      <c r="G56" s="1964" t="s">
        <v>2028</v>
      </c>
      <c r="H56" s="1964" t="s">
        <v>2029</v>
      </c>
      <c r="I56" s="1964" t="s">
        <v>2030</v>
      </c>
      <c r="J56" s="1964" t="s">
        <v>2031</v>
      </c>
      <c r="K56" s="1964" t="s">
        <v>2032</v>
      </c>
      <c r="L56" s="1964" t="s">
        <v>2033</v>
      </c>
      <c r="M56" s="1964" t="s">
        <v>2034</v>
      </c>
      <c r="N56" s="1965" t="s">
        <v>2041</v>
      </c>
    </row>
    <row r="57" spans="1:14" ht="24.75" customHeight="1" x14ac:dyDescent="0.2">
      <c r="A57" s="2460" t="s">
        <v>296</v>
      </c>
      <c r="B57" s="2461"/>
      <c r="C57" s="246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9" t="s">
        <v>2035</v>
      </c>
      <c r="B58" s="2440"/>
      <c r="C58" s="2440"/>
      <c r="D58" s="1967">
        <v>2362</v>
      </c>
      <c r="E58" s="1977">
        <f>'Expenditures 15-22'!K320</f>
        <v>164976</v>
      </c>
      <c r="F58" s="1972"/>
      <c r="G58" s="2031"/>
      <c r="H58" s="2032"/>
      <c r="I58" s="2032"/>
      <c r="J58" s="2032"/>
      <c r="K58" s="2032"/>
      <c r="L58" s="2032"/>
      <c r="M58" s="2032">
        <v>164976</v>
      </c>
      <c r="N58" s="1975">
        <f>IF((SUM(G58:M58))=E58,SUM(G58:M58),"Column N does not agree with Column E")</f>
        <v>164976</v>
      </c>
    </row>
    <row r="59" spans="1:14" ht="24.75" customHeight="1" x14ac:dyDescent="0.2">
      <c r="A59" s="2462" t="s">
        <v>297</v>
      </c>
      <c r="B59" s="2463"/>
      <c r="C59" s="2463"/>
      <c r="D59" s="1967">
        <v>2363</v>
      </c>
      <c r="E59" s="1977">
        <f>'Expenditures 15-22'!K321</f>
        <v>4999</v>
      </c>
      <c r="F59" s="1972"/>
      <c r="G59" s="2031"/>
      <c r="H59" s="2032"/>
      <c r="I59" s="2032"/>
      <c r="J59" s="2032"/>
      <c r="K59" s="2032"/>
      <c r="L59" s="2032"/>
      <c r="M59" s="2032">
        <v>4999</v>
      </c>
      <c r="N59" s="1975">
        <f>IF((SUM(G59:M59))=E59,SUM(G59:M59),"Column N does not agree with Column E")</f>
        <v>4999</v>
      </c>
    </row>
    <row r="60" spans="1:14" ht="24" customHeight="1" x14ac:dyDescent="0.2">
      <c r="A60" s="2462" t="s">
        <v>236</v>
      </c>
      <c r="B60" s="2463"/>
      <c r="C60" s="2463"/>
      <c r="D60" s="1967">
        <v>2364</v>
      </c>
      <c r="E60" s="1977">
        <f>'Expenditures 15-22'!K322</f>
        <v>120358</v>
      </c>
      <c r="F60" s="1972"/>
      <c r="G60" s="2031"/>
      <c r="H60" s="2032"/>
      <c r="I60" s="2032"/>
      <c r="J60" s="2032"/>
      <c r="K60" s="2032"/>
      <c r="L60" s="2032"/>
      <c r="M60" s="2032">
        <v>120358</v>
      </c>
      <c r="N60" s="1975">
        <f t="shared" ref="N60:N67" si="4">IF((SUM(G60:M60))=E60,SUM(G60:M60),"Column N does not agree with Column E")</f>
        <v>120358</v>
      </c>
    </row>
    <row r="61" spans="1:14" ht="24.75" customHeight="1" x14ac:dyDescent="0.2">
      <c r="A61" s="2462" t="s">
        <v>696</v>
      </c>
      <c r="B61" s="2463"/>
      <c r="C61" s="2463"/>
      <c r="D61" s="1967">
        <v>2365</v>
      </c>
      <c r="E61" s="1977">
        <f>'Expenditures 15-22'!K323</f>
        <v>0</v>
      </c>
      <c r="F61" s="1972"/>
      <c r="G61" s="2031"/>
      <c r="H61" s="2032"/>
      <c r="I61" s="2032"/>
      <c r="J61" s="2032"/>
      <c r="K61" s="2032"/>
      <c r="L61" s="2032"/>
      <c r="M61" s="2032"/>
      <c r="N61" s="1975">
        <f t="shared" si="4"/>
        <v>0</v>
      </c>
    </row>
    <row r="62" spans="1:14" ht="24" customHeight="1" x14ac:dyDescent="0.2">
      <c r="A62" s="2462" t="s">
        <v>237</v>
      </c>
      <c r="B62" s="2463"/>
      <c r="C62" s="2463"/>
      <c r="D62" s="1967">
        <v>2366</v>
      </c>
      <c r="E62" s="1977">
        <f>'Expenditures 15-22'!K324</f>
        <v>0</v>
      </c>
      <c r="F62" s="1972"/>
      <c r="G62" s="2031"/>
      <c r="H62" s="2032"/>
      <c r="I62" s="2032"/>
      <c r="J62" s="2032"/>
      <c r="K62" s="2032"/>
      <c r="L62" s="2032"/>
      <c r="M62" s="2032"/>
      <c r="N62" s="1975">
        <f t="shared" si="4"/>
        <v>0</v>
      </c>
    </row>
    <row r="63" spans="1:14" ht="24" customHeight="1" x14ac:dyDescent="0.2">
      <c r="A63" s="2439" t="s">
        <v>1021</v>
      </c>
      <c r="B63" s="2440"/>
      <c r="C63" s="2440"/>
      <c r="D63" s="1967">
        <v>2367</v>
      </c>
      <c r="E63" s="1977">
        <f>'Expenditures 15-22'!K325</f>
        <v>0</v>
      </c>
      <c r="F63" s="1972"/>
      <c r="G63" s="2031"/>
      <c r="H63" s="2032"/>
      <c r="I63" s="2032"/>
      <c r="J63" s="2032"/>
      <c r="K63" s="2032"/>
      <c r="L63" s="2032"/>
      <c r="M63" s="2032"/>
      <c r="N63" s="1975">
        <f t="shared" si="4"/>
        <v>0</v>
      </c>
    </row>
    <row r="64" spans="1:14" ht="24" customHeight="1" x14ac:dyDescent="0.2">
      <c r="A64" s="2462" t="s">
        <v>1022</v>
      </c>
      <c r="B64" s="2463"/>
      <c r="C64" s="2463"/>
      <c r="D64" s="1967">
        <v>2368</v>
      </c>
      <c r="E64" s="1977">
        <f>'Expenditures 15-22'!K326</f>
        <v>0</v>
      </c>
      <c r="F64" s="1972"/>
      <c r="G64" s="2031"/>
      <c r="H64" s="2032"/>
      <c r="I64" s="2032"/>
      <c r="J64" s="2032"/>
      <c r="K64" s="2032"/>
      <c r="L64" s="2032"/>
      <c r="M64" s="2032"/>
      <c r="N64" s="1975">
        <f t="shared" si="4"/>
        <v>0</v>
      </c>
    </row>
    <row r="65" spans="1:14" ht="24" customHeight="1" x14ac:dyDescent="0.2">
      <c r="A65" s="2462" t="s">
        <v>964</v>
      </c>
      <c r="B65" s="2463"/>
      <c r="C65" s="2463"/>
      <c r="D65" s="1967">
        <v>2369</v>
      </c>
      <c r="E65" s="1977">
        <f>'Expenditures 15-22'!K327</f>
        <v>0</v>
      </c>
      <c r="F65" s="1972"/>
      <c r="G65" s="2031"/>
      <c r="H65" s="2032"/>
      <c r="I65" s="2032"/>
      <c r="J65" s="2032"/>
      <c r="K65" s="2032"/>
      <c r="L65" s="2032"/>
      <c r="M65" s="2032"/>
      <c r="N65" s="1975">
        <f t="shared" si="4"/>
        <v>0</v>
      </c>
    </row>
    <row r="66" spans="1:14" ht="24" customHeight="1" x14ac:dyDescent="0.2">
      <c r="A66" s="2462" t="s">
        <v>469</v>
      </c>
      <c r="B66" s="2463"/>
      <c r="C66" s="2463"/>
      <c r="D66" s="1967">
        <v>2371</v>
      </c>
      <c r="E66" s="1977">
        <f>'Expenditures 15-22'!K328</f>
        <v>60000</v>
      </c>
      <c r="F66" s="1972"/>
      <c r="G66" s="2031"/>
      <c r="H66" s="2032"/>
      <c r="I66" s="2032"/>
      <c r="J66" s="2032"/>
      <c r="K66" s="2032"/>
      <c r="L66" s="2032"/>
      <c r="M66" s="2032">
        <v>60000</v>
      </c>
      <c r="N66" s="1975">
        <f t="shared" si="4"/>
        <v>60000</v>
      </c>
    </row>
    <row r="67" spans="1:14" ht="24.75" customHeight="1" x14ac:dyDescent="0.2">
      <c r="A67" s="2464" t="s">
        <v>2036</v>
      </c>
      <c r="B67" s="2465"/>
      <c r="C67" s="2465"/>
      <c r="D67" s="1969">
        <v>2372</v>
      </c>
      <c r="E67" s="1978">
        <f>'Expenditures 15-22'!K329</f>
        <v>20000</v>
      </c>
      <c r="F67" s="1972"/>
      <c r="G67" s="2033"/>
      <c r="H67" s="2034"/>
      <c r="I67" s="2034"/>
      <c r="J67" s="2034"/>
      <c r="K67" s="2034"/>
      <c r="L67" s="2034"/>
      <c r="M67" s="2034">
        <v>20000</v>
      </c>
      <c r="N67" s="1975">
        <f t="shared" si="4"/>
        <v>20000</v>
      </c>
    </row>
    <row r="68" spans="1:14" x14ac:dyDescent="0.2">
      <c r="A68" s="2466" t="s">
        <v>1150</v>
      </c>
      <c r="B68" s="2467"/>
      <c r="C68" s="2467"/>
      <c r="D68" s="1970"/>
      <c r="E68" s="1974">
        <f>SUM(E57:E67)</f>
        <v>370333</v>
      </c>
      <c r="F68" s="1973"/>
      <c r="G68" s="1974">
        <f t="shared" ref="G68:N68" si="5">SUM(G57:G67)</f>
        <v>0</v>
      </c>
      <c r="H68" s="1974">
        <f t="shared" si="5"/>
        <v>0</v>
      </c>
      <c r="I68" s="1974">
        <f t="shared" si="5"/>
        <v>0</v>
      </c>
      <c r="J68" s="1974">
        <f t="shared" si="5"/>
        <v>0</v>
      </c>
      <c r="K68" s="1974">
        <f t="shared" si="5"/>
        <v>0</v>
      </c>
      <c r="L68" s="1974">
        <f t="shared" si="5"/>
        <v>0</v>
      </c>
      <c r="M68" s="1974">
        <f t="shared" si="5"/>
        <v>370333</v>
      </c>
      <c r="N68" s="1988">
        <f t="shared" si="5"/>
        <v>370333</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2037</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28" sqref="B2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5" t="s">
        <v>2115</v>
      </c>
    </row>
    <row r="6" spans="1:2" x14ac:dyDescent="0.2">
      <c r="A6" s="847"/>
      <c r="B6" s="307" t="s">
        <v>2116</v>
      </c>
    </row>
    <row r="7" spans="1:2" x14ac:dyDescent="0.2">
      <c r="A7" s="847"/>
    </row>
    <row r="8" spans="1:2" x14ac:dyDescent="0.2">
      <c r="A8" s="847"/>
      <c r="B8" s="307" t="s">
        <v>2117</v>
      </c>
    </row>
    <row r="9" spans="1:2" x14ac:dyDescent="0.2">
      <c r="A9" s="847"/>
    </row>
    <row r="10" spans="1:2" x14ac:dyDescent="0.2">
      <c r="A10" s="847"/>
      <c r="B10" s="307" t="s">
        <v>2120</v>
      </c>
    </row>
    <row r="11" spans="1:2" x14ac:dyDescent="0.2">
      <c r="A11" s="847"/>
    </row>
    <row r="12" spans="1:2" x14ac:dyDescent="0.2">
      <c r="A12" s="847"/>
      <c r="B12" s="307" t="s">
        <v>2121</v>
      </c>
    </row>
    <row r="13" spans="1:2" x14ac:dyDescent="0.2">
      <c r="A13" s="847"/>
    </row>
    <row r="14" spans="1:2" x14ac:dyDescent="0.2">
      <c r="A14" s="847"/>
    </row>
    <row r="15" spans="1:2" x14ac:dyDescent="0.2">
      <c r="A15" s="847"/>
    </row>
    <row r="16" spans="1:2" x14ac:dyDescent="0.2">
      <c r="A16" s="847"/>
    </row>
    <row r="17" spans="1:2" x14ac:dyDescent="0.2">
      <c r="A17" s="847"/>
    </row>
    <row r="18" spans="1:2" x14ac:dyDescent="0.2">
      <c r="A18" s="847"/>
    </row>
    <row r="19" spans="1:2" x14ac:dyDescent="0.2">
      <c r="A19" s="847">
        <v>2</v>
      </c>
      <c r="B19" s="2035" t="s">
        <v>2118</v>
      </c>
    </row>
    <row r="20" spans="1:2" x14ac:dyDescent="0.2">
      <c r="A20" s="847"/>
      <c r="B20" s="307" t="s">
        <v>2119</v>
      </c>
    </row>
    <row r="21" spans="1:2" x14ac:dyDescent="0.2">
      <c r="A21" s="847"/>
    </row>
    <row r="22" spans="1:2" x14ac:dyDescent="0.2">
      <c r="A22" s="847"/>
    </row>
    <row r="23" spans="1:2" x14ac:dyDescent="0.2">
      <c r="A23" s="847"/>
    </row>
    <row r="24" spans="1:2" x14ac:dyDescent="0.2">
      <c r="A24" s="847"/>
    </row>
    <row r="25" spans="1:2" x14ac:dyDescent="0.2">
      <c r="A25" s="847"/>
    </row>
    <row r="26" spans="1:2" x14ac:dyDescent="0.2">
      <c r="A26" s="847">
        <v>3</v>
      </c>
      <c r="B26" s="2035" t="s">
        <v>2122</v>
      </c>
    </row>
    <row r="27" spans="1:2" x14ac:dyDescent="0.2">
      <c r="A27" s="847"/>
      <c r="B27" s="307" t="s">
        <v>2123</v>
      </c>
    </row>
    <row r="28" spans="1:2" x14ac:dyDescent="0.2">
      <c r="A28" s="847"/>
    </row>
    <row r="29" spans="1:2" x14ac:dyDescent="0.2">
      <c r="A29" s="847"/>
    </row>
    <row r="31" spans="1:2" x14ac:dyDescent="0.2">
      <c r="A31" s="847"/>
    </row>
    <row r="32" spans="1:2"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v>4</v>
      </c>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Adlai E Stevenson Dist 125</v>
      </c>
    </row>
    <row r="66" spans="1:2" x14ac:dyDescent="0.2">
      <c r="B66" s="849">
        <f>COVER!A13</f>
        <v>34049125013</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70" t="s">
        <v>1591</v>
      </c>
    </row>
    <row r="23" spans="1:5" x14ac:dyDescent="0.2">
      <c r="A23" s="163"/>
      <c r="B23" s="157" t="s">
        <v>1822</v>
      </c>
      <c r="D23" s="162" t="s">
        <v>632</v>
      </c>
      <c r="E23" s="1470" t="s">
        <v>952</v>
      </c>
    </row>
    <row r="24" spans="1:5" x14ac:dyDescent="0.2">
      <c r="A24" s="163" t="s">
        <v>1589</v>
      </c>
      <c r="C24" s="157" t="s">
        <v>1158</v>
      </c>
      <c r="D24" s="162" t="s">
        <v>1374</v>
      </c>
      <c r="E24" s="165" t="s">
        <v>953</v>
      </c>
    </row>
    <row r="25" spans="1:5" x14ac:dyDescent="0.2">
      <c r="A25" s="163" t="s">
        <v>1834</v>
      </c>
      <c r="C25" s="157" t="s">
        <v>1158</v>
      </c>
      <c r="D25" s="164" t="s">
        <v>21</v>
      </c>
      <c r="E25" s="1470" t="s">
        <v>2060</v>
      </c>
    </row>
    <row r="26" spans="1:5" x14ac:dyDescent="0.2">
      <c r="A26" s="163" t="s">
        <v>1835</v>
      </c>
      <c r="C26" s="157" t="s">
        <v>1158</v>
      </c>
      <c r="D26" s="164" t="s">
        <v>559</v>
      </c>
      <c r="E26" s="1470">
        <v>34</v>
      </c>
    </row>
    <row r="27" spans="1:5" x14ac:dyDescent="0.2">
      <c r="A27" s="163" t="s">
        <v>1836</v>
      </c>
      <c r="C27" s="157" t="s">
        <v>1158</v>
      </c>
      <c r="D27" s="164" t="s">
        <v>553</v>
      </c>
      <c r="E27" s="1470">
        <v>35</v>
      </c>
    </row>
    <row r="28" spans="1:5" x14ac:dyDescent="0.2">
      <c r="A28" s="163" t="s">
        <v>1838</v>
      </c>
      <c r="D28" s="164" t="s">
        <v>678</v>
      </c>
      <c r="E28" s="1470">
        <v>36</v>
      </c>
    </row>
    <row r="29" spans="1:5" x14ac:dyDescent="0.2">
      <c r="A29" s="163" t="s">
        <v>1839</v>
      </c>
      <c r="D29" s="164" t="s">
        <v>1375</v>
      </c>
      <c r="E29" s="1470">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70" t="s">
        <v>2061</v>
      </c>
    </row>
    <row r="33" spans="1:5" x14ac:dyDescent="0.2">
      <c r="A33" s="167"/>
      <c r="D33" s="164"/>
      <c r="E33" s="166"/>
    </row>
    <row r="34" spans="1:5" x14ac:dyDescent="0.2">
      <c r="A34" s="167"/>
      <c r="D34" s="164"/>
      <c r="E34" s="166"/>
    </row>
    <row r="35" spans="1:5" ht="15.75" customHeight="1" thickBot="1" x14ac:dyDescent="0.25">
      <c r="A35" s="2154" t="s">
        <v>1055</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685</v>
      </c>
      <c r="B40" s="2151"/>
      <c r="C40" s="2151"/>
      <c r="D40" s="2151"/>
      <c r="E40" s="2151"/>
    </row>
    <row r="41" spans="1:5" x14ac:dyDescent="0.2">
      <c r="A41" s="2152" t="s">
        <v>1588</v>
      </c>
      <c r="B41" s="2152"/>
      <c r="C41" s="2152"/>
      <c r="D41" s="2152"/>
      <c r="E41" s="2152"/>
    </row>
    <row r="42" spans="1:5" ht="12.75" customHeight="1" x14ac:dyDescent="0.2">
      <c r="A42" s="2153" t="s">
        <v>1014</v>
      </c>
      <c r="B42" s="2153"/>
      <c r="C42" s="2153"/>
      <c r="D42" s="2153"/>
      <c r="E42" s="2153"/>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56" t="s">
        <v>1747</v>
      </c>
    </row>
    <row r="60" spans="1:3" x14ac:dyDescent="0.2">
      <c r="A60" s="191"/>
      <c r="B60" s="1256"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58"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57"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fzPtWhgkKj0pClvyVkv19jGxapOXGOY19SyAXZjUd1Q0L8ZI5Qz8ssR9pDzCIYdQ5cCk+S7FwvhhzgMwI/NUWg==" saltValue="4G/IedNFGT9sPA2t/QeUW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1473</v>
      </c>
    </row>
    <row r="15" spans="1:6" x14ac:dyDescent="0.2">
      <c r="A15" s="366" t="s">
        <v>851</v>
      </c>
    </row>
    <row r="16" spans="1:6" s="850" customFormat="1" ht="45" customHeight="1" x14ac:dyDescent="0.2">
      <c r="A16" s="852"/>
      <c r="B16" s="852" t="s">
        <v>1967</v>
      </c>
    </row>
    <row r="17" spans="1:2" ht="6" customHeight="1" x14ac:dyDescent="0.2"/>
    <row r="18" spans="1:2" ht="24.75" customHeight="1" x14ac:dyDescent="0.2">
      <c r="A18" s="2468" t="s">
        <v>1662</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0</xdr:col>
                <xdr:colOff>0</xdr:colOff>
                <xdr:row>0</xdr:row>
                <xdr:rowOff>0</xdr:rowOff>
              </from>
              <to>
                <xdr:col>1</xdr:col>
                <xdr:colOff>733425</xdr:colOff>
                <xdr:row>3</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1666</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1966</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1667</v>
      </c>
      <c r="B6" s="2486"/>
      <c r="C6" s="2486"/>
      <c r="D6" s="2486"/>
      <c r="E6" s="2486"/>
      <c r="F6" s="2487"/>
    </row>
    <row r="7" spans="1:8" ht="42" customHeight="1" x14ac:dyDescent="0.2">
      <c r="A7" s="855" t="s">
        <v>478</v>
      </c>
      <c r="B7" s="856" t="s">
        <v>1476</v>
      </c>
      <c r="C7" s="856" t="s">
        <v>1477</v>
      </c>
      <c r="D7" s="856" t="s">
        <v>1475</v>
      </c>
      <c r="E7" s="856" t="s">
        <v>1478</v>
      </c>
      <c r="F7" s="856" t="s">
        <v>1349</v>
      </c>
    </row>
    <row r="8" spans="1:8" s="858" customFormat="1" ht="14.25" customHeight="1" x14ac:dyDescent="0.2">
      <c r="A8" s="857" t="s">
        <v>1350</v>
      </c>
      <c r="B8" s="1813">
        <f>'Acct Summary 7-8'!C8</f>
        <v>80700489</v>
      </c>
      <c r="C8" s="1813">
        <f>'Acct Summary 7-8'!D8</f>
        <v>18407347</v>
      </c>
      <c r="D8" s="1813">
        <f>'Acct Summary 7-8'!F8</f>
        <v>6532434</v>
      </c>
      <c r="E8" s="1813">
        <f>'Acct Summary 7-8'!I8</f>
        <v>596768</v>
      </c>
      <c r="F8" s="1813">
        <f>SUM(B8:E8)</f>
        <v>106237038</v>
      </c>
    </row>
    <row r="9" spans="1:8" s="858" customFormat="1" ht="14.25" customHeight="1" thickBot="1" x14ac:dyDescent="0.25">
      <c r="A9" s="857" t="s">
        <v>1351</v>
      </c>
      <c r="B9" s="1814">
        <f>'Acct Summary 7-8'!C17</f>
        <v>90977440</v>
      </c>
      <c r="C9" s="1814">
        <f>'Acct Summary 7-8'!D17</f>
        <v>30260433</v>
      </c>
      <c r="D9" s="1814">
        <f>'Acct Summary 7-8'!F17</f>
        <v>5023678</v>
      </c>
      <c r="E9" s="1813"/>
      <c r="F9" s="1813">
        <f>SUM(B9:E9)</f>
        <v>126261551</v>
      </c>
    </row>
    <row r="10" spans="1:8" s="858" customFormat="1" ht="14.25" thickTop="1" thickBot="1" x14ac:dyDescent="0.25">
      <c r="A10" s="859" t="s">
        <v>1352</v>
      </c>
      <c r="B10" s="1815">
        <f>(B8-B9)</f>
        <v>-10276951</v>
      </c>
      <c r="C10" s="1815">
        <f>(C8-C9)</f>
        <v>-11853086</v>
      </c>
      <c r="D10" s="1815">
        <f>(D8-D9)</f>
        <v>1508756</v>
      </c>
      <c r="E10" s="1814">
        <f>(E8-E9)</f>
        <v>596768</v>
      </c>
      <c r="F10" s="1816">
        <f>SUM(F8-F9)</f>
        <v>-20024513</v>
      </c>
    </row>
    <row r="11" spans="1:8" s="858" customFormat="1" ht="14.25" thickTop="1" thickBot="1" x14ac:dyDescent="0.25">
      <c r="A11" s="860" t="s">
        <v>1897</v>
      </c>
      <c r="B11" s="1817">
        <f>'Acct Summary 7-8'!C81</f>
        <v>89624386</v>
      </c>
      <c r="C11" s="1817">
        <f>'Acct Summary 7-8'!D81</f>
        <v>11574748</v>
      </c>
      <c r="D11" s="1817">
        <f>'Acct Summary 7-8'!F81</f>
        <v>5642780</v>
      </c>
      <c r="E11" s="1817">
        <f>'Acct Summary 7-8'!I81</f>
        <v>11285593</v>
      </c>
      <c r="F11" s="1818">
        <f>SUM(B11:E11)</f>
        <v>118127507</v>
      </c>
    </row>
    <row r="12" spans="1:8" ht="16.5" customHeight="1" thickTop="1" x14ac:dyDescent="0.2">
      <c r="A12" s="861"/>
      <c r="B12" s="862"/>
      <c r="C12" s="2473" t="str">
        <f>IF(AND(F10&lt;0,F11&gt;=0,ABS(F10*3)&gt;ABS(F11)),A16,IF(AND(F10&lt;0,F11&gt;0,ABS(F10*3)&lt;=ABS(F11)),A17,IF(AND(F10&lt;0,F11&lt;0),A16,IF(F11=0,A19,A18))))</f>
        <v>Unbalanced -  however, a deficit reduction plan is not required at this time.</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1663</v>
      </c>
      <c r="B16" s="2472"/>
      <c r="C16" s="2472"/>
      <c r="D16" s="2472"/>
      <c r="E16" s="2472"/>
      <c r="F16" s="288" t="s">
        <v>1353</v>
      </c>
    </row>
    <row r="17" spans="1:6" hidden="1" x14ac:dyDescent="0.2">
      <c r="A17" s="294" t="s">
        <v>1664</v>
      </c>
      <c r="F17" s="865"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election activeCell="D75" sqref="D7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1668</v>
      </c>
      <c r="B4" s="932"/>
      <c r="C4" s="933"/>
      <c r="D4" s="934"/>
    </row>
    <row r="5" spans="1:4" ht="21" customHeight="1" x14ac:dyDescent="0.2">
      <c r="A5" s="927"/>
      <c r="B5" s="928">
        <v>1</v>
      </c>
      <c r="C5" s="929" t="s">
        <v>1968</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5" t="s">
        <v>1484</v>
      </c>
      <c r="D7" s="2506"/>
    </row>
    <row r="8" spans="1:4" s="542" customFormat="1" ht="12.75" x14ac:dyDescent="0.2">
      <c r="A8" s="917"/>
      <c r="B8" s="872"/>
      <c r="C8" s="875" t="s">
        <v>1483</v>
      </c>
      <c r="D8" s="876"/>
    </row>
    <row r="9" spans="1:4" s="542" customFormat="1" ht="14.25" customHeight="1" x14ac:dyDescent="0.2">
      <c r="A9" s="917"/>
      <c r="B9" s="872">
        <f>B7+1</f>
        <v>4</v>
      </c>
      <c r="C9" s="873" t="s">
        <v>1873</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1485</v>
      </c>
      <c r="D14" s="916"/>
    </row>
    <row r="15" spans="1:4" s="542" customFormat="1" ht="21.75" customHeight="1" x14ac:dyDescent="0.2">
      <c r="A15" s="2497" t="s">
        <v>1000</v>
      </c>
      <c r="B15" s="2498"/>
      <c r="C15" s="2498"/>
      <c r="D15" s="2499"/>
    </row>
    <row r="16" spans="1:4" s="542" customFormat="1" ht="24" customHeight="1" x14ac:dyDescent="0.2">
      <c r="A16" s="2500" t="s">
        <v>658</v>
      </c>
      <c r="B16" s="2501"/>
      <c r="C16" s="2501"/>
      <c r="D16" s="2502"/>
    </row>
    <row r="17" spans="1:10" s="542" customFormat="1" ht="12.75" customHeight="1" x14ac:dyDescent="0.2">
      <c r="A17" s="935" t="s">
        <v>1669</v>
      </c>
      <c r="B17" s="936"/>
      <c r="C17" s="937"/>
      <c r="D17" s="938"/>
    </row>
    <row r="18" spans="1:10" s="542" customFormat="1" ht="12.75" customHeight="1" x14ac:dyDescent="0.2">
      <c r="A18" s="939" t="s">
        <v>1969</v>
      </c>
      <c r="B18" s="940"/>
      <c r="C18" s="941"/>
      <c r="D18" s="942"/>
    </row>
    <row r="19" spans="1:10" ht="6.75" customHeight="1" thickBot="1" x14ac:dyDescent="0.25">
      <c r="A19" s="943"/>
      <c r="B19" s="944"/>
      <c r="C19" s="945"/>
      <c r="D19" s="946"/>
    </row>
    <row r="20" spans="1:10" s="950" customFormat="1" ht="12.75" thickTop="1" x14ac:dyDescent="0.2">
      <c r="A20" s="947"/>
      <c r="B20" s="948" t="s">
        <v>1670</v>
      </c>
      <c r="C20" s="949"/>
      <c r="D20" s="952" t="s">
        <v>704</v>
      </c>
    </row>
    <row r="21" spans="1:10" x14ac:dyDescent="0.2">
      <c r="A21" s="877"/>
      <c r="B21" s="878">
        <v>1</v>
      </c>
      <c r="C21" s="2509" t="s">
        <v>311</v>
      </c>
      <c r="D21" s="2510"/>
    </row>
    <row r="22" spans="1:10" ht="12.75" x14ac:dyDescent="0.2">
      <c r="A22" s="918"/>
      <c r="B22" s="919">
        <v>2</v>
      </c>
      <c r="C22" s="2507" t="s">
        <v>1504</v>
      </c>
      <c r="D22" s="2508"/>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1506</v>
      </c>
      <c r="D25" s="882" t="str">
        <f>IF(AND(COVER!J29="X",COVER!J30="X",COVER!L30&lt;&gt;"X"),"OK",IF(AND(COVER!J29="X",COVER!J30&lt;&gt;"X",COVER!L30="X"),"OK",IF(AND(COVER!L29="X",COVER!J30&lt;&gt;"X"),"OK","PLEASE CHECK YES or NO.")))</f>
        <v>OK</v>
      </c>
    </row>
    <row r="26" spans="1:10" x14ac:dyDescent="0.2">
      <c r="A26" s="879"/>
      <c r="B26" s="922"/>
      <c r="C26" s="883" t="s">
        <v>1505</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3" t="s">
        <v>778</v>
      </c>
      <c r="D56" s="2504"/>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1874</v>
      </c>
      <c r="D66" s="904"/>
    </row>
    <row r="67" spans="1:4" x14ac:dyDescent="0.2">
      <c r="A67" s="898"/>
      <c r="B67" s="919"/>
      <c r="C67" s="926" t="s">
        <v>1013</v>
      </c>
      <c r="D67" s="904"/>
    </row>
    <row r="68" spans="1:4" x14ac:dyDescent="0.2">
      <c r="A68" s="879"/>
      <c r="B68" s="889"/>
      <c r="C68" s="881" t="s">
        <v>1875</v>
      </c>
      <c r="D68" s="903" t="str">
        <f>IF('Short-Term Long-Term Debt 24'!F49=SUM(,'Acct Summary 7-8'!C33:K33),"OK","ERROR!")</f>
        <v>OK</v>
      </c>
    </row>
    <row r="69" spans="1:4" x14ac:dyDescent="0.2">
      <c r="A69" s="879"/>
      <c r="B69" s="889"/>
      <c r="C69" s="881" t="s">
        <v>1876</v>
      </c>
      <c r="D69" s="903" t="str">
        <f>IF('Expenditures 15-22'!H170&lt;&gt;'Short-Term Long-Term Debt 24'!H49,"ERROR!","OK")</f>
        <v>OK</v>
      </c>
    </row>
    <row r="70" spans="1:4" x14ac:dyDescent="0.2">
      <c r="A70" s="877"/>
      <c r="B70" s="899">
        <f>B66+1</f>
        <v>9</v>
      </c>
      <c r="C70" s="2503" t="s">
        <v>1671</v>
      </c>
      <c r="D70" s="2504"/>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1672</v>
      </c>
      <c r="D73" s="905" t="str">
        <f>IF(SUM('Acct Summary 7-8'!C42:K42)&gt;=SUM( 'Acct Summary 7-8'!C74:K74),"OK", "ERROR")</f>
        <v>OK</v>
      </c>
    </row>
    <row r="74" spans="1:4" x14ac:dyDescent="0.2">
      <c r="A74" s="877"/>
      <c r="B74" s="899">
        <f>B70+1</f>
        <v>10</v>
      </c>
      <c r="C74" s="893" t="s">
        <v>1877</v>
      </c>
      <c r="D74" s="907"/>
    </row>
    <row r="75" spans="1:4" x14ac:dyDescent="0.2">
      <c r="A75" s="879"/>
      <c r="B75" s="889"/>
      <c r="C75" s="897" t="s">
        <v>1358</v>
      </c>
      <c r="D75" s="903" t="str">
        <f>IF(SUM('Assets-Liab 5-6'!C38:H38)&gt;=SUM('Rest Tax Levies-Tort Im 25'!G25:K25),"OK","ERROR")</f>
        <v>OK</v>
      </c>
    </row>
    <row r="76" spans="1:4" x14ac:dyDescent="0.2">
      <c r="A76" s="879"/>
      <c r="B76" s="889"/>
      <c r="C76" s="897" t="s">
        <v>1398</v>
      </c>
      <c r="D76" s="903" t="str">
        <f>IF(SUM('Assets-Liab 5-6'!C39:K39)&gt;0,"OK","ENTRY IS REQUIRED!")</f>
        <v>OK</v>
      </c>
    </row>
    <row r="77" spans="1:4" x14ac:dyDescent="0.2">
      <c r="A77" s="879"/>
      <c r="B77" s="908">
        <f>B74+1</f>
        <v>11</v>
      </c>
      <c r="C77" s="953" t="s">
        <v>1359</v>
      </c>
      <c r="D77" s="903"/>
    </row>
    <row r="78" spans="1:4" x14ac:dyDescent="0.2">
      <c r="A78" s="879"/>
      <c r="B78" s="889"/>
      <c r="C78" s="897" t="s">
        <v>1982</v>
      </c>
      <c r="D78" s="903" t="str">
        <f>IF(ISNUMBER('Acct Summary 7-8'!C9),"OK","ENTRY IS REQUIRED!")</f>
        <v>OK</v>
      </c>
    </row>
    <row r="79" spans="1:4" x14ac:dyDescent="0.2">
      <c r="A79" s="898"/>
      <c r="B79" s="899">
        <f>B74+1+1</f>
        <v>12</v>
      </c>
      <c r="C79" s="909" t="s">
        <v>1865</v>
      </c>
      <c r="D79" s="910" t="str">
        <f>IF(OR(COVER!$B$6="X",'PCTC-OEPP 27-28'!F79&gt;0),"OK","PLEASE ENTER 9 MO ADA.")</f>
        <v>OK</v>
      </c>
    </row>
    <row r="80" spans="1:4" x14ac:dyDescent="0.2">
      <c r="A80" s="877"/>
      <c r="B80" s="899">
        <v>13</v>
      </c>
      <c r="C80" s="909" t="s">
        <v>1970</v>
      </c>
      <c r="D80" s="910" t="str">
        <f>IF(OR(COVER!$B$6="X",ISNUMBER('PCTC-OEPP 27-28'!F172)),"OK","PLEASE ENTER AMOUNT or 0.")</f>
        <v>OK</v>
      </c>
    </row>
    <row r="81" spans="1:4" x14ac:dyDescent="0.2">
      <c r="A81" s="877"/>
      <c r="B81" s="899">
        <v>14</v>
      </c>
      <c r="C81" s="909" t="s">
        <v>1971</v>
      </c>
      <c r="D81" s="910" t="str">
        <f>IF(OR(COVER!$B$6="X",ISNUMBER('PCTC-OEPP 27-28'!F173)),"OK","PLEASE ENTER AMOUNT or 0.")</f>
        <v>OK</v>
      </c>
    </row>
    <row r="82" spans="1:4" x14ac:dyDescent="0.2">
      <c r="A82" s="877"/>
      <c r="B82" s="899">
        <v>15</v>
      </c>
      <c r="C82" s="909" t="s">
        <v>1878</v>
      </c>
      <c r="D82" s="1901" t="str">
        <f>IF('Contracts Paid in CY 29'!$D$142&gt;0,"OK","PLEASE ENTER CONTRACTS PAID IN CURRENT YEAR.  IF NONE, STATE NO CONTRACTS ON PAGE 29.")</f>
        <v>OK</v>
      </c>
    </row>
    <row r="83" spans="1:4" x14ac:dyDescent="0.2">
      <c r="A83" s="877"/>
      <c r="B83" s="899">
        <v>16</v>
      </c>
      <c r="C83" s="909" t="s">
        <v>1404</v>
      </c>
      <c r="D83" s="902" t="str">
        <f>IF('Shared Outsourced Services 31'!B8="X","OK",IF('Shared Outsourced Services 31'!K34&gt;0,"OK","ENTRY REQUIRED!"))</f>
        <v>OK</v>
      </c>
    </row>
    <row r="84" spans="1:4" x14ac:dyDescent="0.2">
      <c r="A84" s="898"/>
      <c r="B84" s="899">
        <v>17</v>
      </c>
      <c r="C84" s="909" t="s">
        <v>1403</v>
      </c>
      <c r="D84" s="911" t="str">
        <f>IF(COVER!B5="X",IF('AC Tort 32-33'!L19=0,"ENTER BUDGET DATA!","OK"),"OK")</f>
        <v>OK</v>
      </c>
    </row>
  </sheetData>
  <sheetProtection algorithmName="SHA-512" hashValue="YS+Yqaoox7ebdzolW7y7CHZxvzJmPvb6Ewfhi9YSCavrm6oEIKX5OVUyeXwoG5FsnE9PbGr1fwi/W3WVjf+jAw==" saltValue="YieZI/3DPlrs9uodMYjry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1961</v>
      </c>
      <c r="F1" s="1543" t="s">
        <v>1962</v>
      </c>
      <c r="G1" s="1900" t="s">
        <v>1972</v>
      </c>
    </row>
    <row r="2" spans="1:7" ht="15.75" x14ac:dyDescent="0.25">
      <c r="A2" t="s">
        <v>260</v>
      </c>
      <c r="B2" s="135">
        <f>COVER!A13</f>
        <v>34049125013</v>
      </c>
      <c r="E2" s="1542">
        <v>2020</v>
      </c>
      <c r="F2" s="1542">
        <v>1</v>
      </c>
      <c r="G2" s="1899">
        <v>101000300</v>
      </c>
    </row>
    <row r="3" spans="1:7" ht="15" x14ac:dyDescent="0.25">
      <c r="A3" t="s">
        <v>949</v>
      </c>
      <c r="B3" s="135" t="str">
        <f>COVER!A15</f>
        <v>LAKE</v>
      </c>
      <c r="E3" s="1830" t="s">
        <v>1965</v>
      </c>
      <c r="F3" s="1830" t="s">
        <v>1964</v>
      </c>
      <c r="G3" s="1899">
        <v>101000400</v>
      </c>
    </row>
    <row r="4" spans="1:7" ht="15" x14ac:dyDescent="0.25">
      <c r="A4" t="s">
        <v>999</v>
      </c>
      <c r="B4" s="135" t="str">
        <f>COVER!A17</f>
        <v xml:space="preserve"> Adlai E Stevenson Dist 125</v>
      </c>
      <c r="E4" s="1828">
        <v>44119</v>
      </c>
      <c r="F4" s="1829">
        <v>44151</v>
      </c>
      <c r="G4" s="1899">
        <v>101000600</v>
      </c>
    </row>
    <row r="5" spans="1:7" ht="15" x14ac:dyDescent="0.25">
      <c r="A5" t="s">
        <v>698</v>
      </c>
      <c r="B5" s="135" t="str">
        <f>COVER!A38</f>
        <v>Dr. Eric Twadell</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1523</v>
      </c>
      <c r="B12" s="135" t="str">
        <f>IF(COVER!J29="x","Yes",IF(COVER!L29="X","No",0))</f>
        <v>Yes</v>
      </c>
      <c r="G12" s="1899">
        <v>202100600</v>
      </c>
    </row>
    <row r="13" spans="1:7" ht="15" x14ac:dyDescent="0.25">
      <c r="A13" s="1" t="s">
        <v>1524</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066-003289</v>
      </c>
      <c r="G15" s="1899">
        <v>402100400</v>
      </c>
    </row>
    <row r="16" spans="1:7" ht="15" x14ac:dyDescent="0.25">
      <c r="A16" t="s">
        <v>419</v>
      </c>
      <c r="B16" s="135" t="str">
        <f>COVER!T13</f>
        <v>Evoy, Kamschulte, Jacobs &amp; Co. LLP</v>
      </c>
      <c r="G16" s="1899">
        <v>402100600</v>
      </c>
    </row>
    <row r="17" spans="1:7" ht="15" x14ac:dyDescent="0.25">
      <c r="A17" t="s">
        <v>877</v>
      </c>
      <c r="B17" s="135" t="str">
        <f>COVER!T15</f>
        <v>John D. Aceto, Jr., CPA</v>
      </c>
      <c r="G17" s="1899">
        <v>402100800</v>
      </c>
    </row>
    <row r="18" spans="1:7" ht="15" x14ac:dyDescent="0.25">
      <c r="A18" t="s">
        <v>1139</v>
      </c>
      <c r="B18" s="135" t="str">
        <f>COVER!T17</f>
        <v>2122 Yeoman Street</v>
      </c>
      <c r="G18" s="1899">
        <v>102200300</v>
      </c>
    </row>
    <row r="19" spans="1:7" ht="15" x14ac:dyDescent="0.25">
      <c r="A19" t="s">
        <v>879</v>
      </c>
      <c r="B19" s="135" t="str">
        <f>COVER!T25</f>
        <v>jaceto@ekjllp.com</v>
      </c>
      <c r="G19" s="1899">
        <v>102200400</v>
      </c>
    </row>
    <row r="20" spans="1:7" ht="15" x14ac:dyDescent="0.25">
      <c r="A20" t="s">
        <v>880</v>
      </c>
      <c r="B20" s="135" t="str">
        <f>COVER!T19</f>
        <v>Waukegan</v>
      </c>
      <c r="G20" s="1899">
        <v>102200600</v>
      </c>
    </row>
    <row r="21" spans="1:7" ht="15" x14ac:dyDescent="0.25">
      <c r="A21" t="s">
        <v>476</v>
      </c>
      <c r="B21" s="135" t="str">
        <f>COVER!X19</f>
        <v>IL</v>
      </c>
      <c r="G21" s="1899">
        <v>102200800</v>
      </c>
    </row>
    <row r="22" spans="1:7" ht="15" x14ac:dyDescent="0.25">
      <c r="A22" t="s">
        <v>881</v>
      </c>
      <c r="B22" s="135">
        <f>COVER!Z19</f>
        <v>60087</v>
      </c>
      <c r="G22" s="1899">
        <v>102300300</v>
      </c>
    </row>
    <row r="23" spans="1:7" ht="15" x14ac:dyDescent="0.25">
      <c r="A23" t="s">
        <v>1141</v>
      </c>
      <c r="B23" s="135" t="str">
        <f>COVER!T21</f>
        <v>847-662-8300</v>
      </c>
      <c r="G23" s="1899">
        <v>102300400</v>
      </c>
    </row>
    <row r="24" spans="1:7" ht="15" x14ac:dyDescent="0.25">
      <c r="A24" t="s">
        <v>1140</v>
      </c>
      <c r="B24" s="135">
        <f>COVER!Y21</f>
        <v>0</v>
      </c>
      <c r="G24" s="1899">
        <v>102300600</v>
      </c>
    </row>
    <row r="25" spans="1:7" ht="15" x14ac:dyDescent="0.25">
      <c r="A25" t="s">
        <v>755</v>
      </c>
      <c r="B25" s="135">
        <f>COVER!B34</f>
        <v>0</v>
      </c>
      <c r="G25" s="1899">
        <v>102300800</v>
      </c>
    </row>
    <row r="26" spans="1:7" ht="15" x14ac:dyDescent="0.25">
      <c r="A26" t="s">
        <v>1142</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1461</v>
      </c>
      <c r="B49" s="135" t="str">
        <f>IF('Aud Quest 2'!B53="x","Yes",IF('Aud Quest 2'!B53&lt;&gt;"x","0"))</f>
        <v>Yes</v>
      </c>
      <c r="G49" s="1899">
        <v>102540800</v>
      </c>
    </row>
    <row r="50" spans="1:7" ht="15" x14ac:dyDescent="0.25">
      <c r="A50" s="1" t="s">
        <v>1460</v>
      </c>
      <c r="B50" s="146">
        <f>'Aud Quest 2'!H53</f>
        <v>33604</v>
      </c>
      <c r="G50" s="1899">
        <v>202540300</v>
      </c>
    </row>
    <row r="51" spans="1:7" ht="15" x14ac:dyDescent="0.25">
      <c r="A51" s="1" t="s">
        <v>1462</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293250</v>
      </c>
      <c r="D76" s="2" t="str">
        <f t="shared" si="0"/>
        <v>Error?</v>
      </c>
      <c r="G76" s="1899">
        <v>102570600</v>
      </c>
    </row>
    <row r="77" spans="1:7" ht="15" x14ac:dyDescent="0.25">
      <c r="A77" s="5">
        <v>16</v>
      </c>
      <c r="B77" s="1832">
        <f>'Assets-Liab 5-6'!C13</f>
        <v>89624386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48559386</v>
      </c>
      <c r="D92" s="2" t="str">
        <f t="shared" si="0"/>
        <v>Error?</v>
      </c>
      <c r="G92" s="1899">
        <v>102640600</v>
      </c>
    </row>
    <row r="93" spans="1:7" ht="15" x14ac:dyDescent="0.25">
      <c r="A93" s="5">
        <v>32</v>
      </c>
      <c r="B93" s="1832">
        <f>'Assets-Liab 5-6'!C41</f>
        <v>89624386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11574748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11574748</v>
      </c>
      <c r="D123" s="2" t="str">
        <f t="shared" si="0"/>
        <v>Error?</v>
      </c>
      <c r="G123" s="1899">
        <v>203000400</v>
      </c>
    </row>
    <row r="124" spans="1:7" ht="15" x14ac:dyDescent="0.25">
      <c r="A124" s="5">
        <v>63</v>
      </c>
      <c r="B124" s="1832">
        <f>'Assets-Liab 5-6'!D41</f>
        <v>11574748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3533568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3533568</v>
      </c>
      <c r="D140" s="2" t="str">
        <f t="shared" si="1"/>
        <v>Error?</v>
      </c>
    </row>
    <row r="141" spans="1:7" x14ac:dyDescent="0.2">
      <c r="A141" s="5">
        <v>80</v>
      </c>
      <c r="B141" s="1832">
        <f>'Assets-Liab 5-6'!E41</f>
        <v>3533568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5642780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5642780</v>
      </c>
      <c r="D170" s="2" t="str">
        <f t="shared" si="1"/>
        <v>Error?</v>
      </c>
    </row>
    <row r="171" spans="1:4" x14ac:dyDescent="0.2">
      <c r="A171" s="5">
        <v>110</v>
      </c>
      <c r="B171" s="1832">
        <f>'Assets-Liab 5-6'!F41</f>
        <v>5642780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4220737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4220737</v>
      </c>
      <c r="D189" s="2" t="str">
        <f t="shared" si="1"/>
        <v>Error?</v>
      </c>
    </row>
    <row r="190" spans="1:4" x14ac:dyDescent="0.2">
      <c r="A190" s="5">
        <v>129</v>
      </c>
      <c r="B190" s="1832">
        <f>'Assets-Liab 5-6'!G41</f>
        <v>4220737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878405</v>
      </c>
      <c r="D273" s="2" t="str">
        <f t="shared" si="3"/>
        <v>Error?</v>
      </c>
    </row>
    <row r="274" spans="1:4" x14ac:dyDescent="0.2">
      <c r="A274" s="5">
        <v>213</v>
      </c>
      <c r="B274" s="1832">
        <f>'Assets-Liab 5-6'!M17</f>
        <v>261519150</v>
      </c>
      <c r="D274" s="2" t="str">
        <f t="shared" si="3"/>
        <v>Error?</v>
      </c>
    </row>
    <row r="275" spans="1:4" x14ac:dyDescent="0.2">
      <c r="A275" s="5">
        <v>214</v>
      </c>
      <c r="B275" s="1832">
        <f>'Assets-Liab 5-6'!M18</f>
        <v>13582547</v>
      </c>
      <c r="D275" s="2" t="str">
        <f t="shared" si="3"/>
        <v>Error?</v>
      </c>
    </row>
    <row r="276" spans="1:4" x14ac:dyDescent="0.2">
      <c r="A276" s="5">
        <v>215</v>
      </c>
      <c r="B276" s="1832">
        <f>'Assets-Liab 5-6'!M19</f>
        <v>61883771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337863873</v>
      </c>
      <c r="C279" s="2" t="s">
        <v>569</v>
      </c>
      <c r="D279" s="2" t="str">
        <f t="shared" si="3"/>
        <v>Error?</v>
      </c>
    </row>
    <row r="280" spans="1:4" x14ac:dyDescent="0.2">
      <c r="A280" s="5">
        <v>219</v>
      </c>
      <c r="B280" s="1832">
        <f>'Assets-Liab 5-6'!M40</f>
        <v>337863873</v>
      </c>
      <c r="D280" s="2" t="str">
        <f t="shared" si="3"/>
        <v>Error?</v>
      </c>
    </row>
    <row r="281" spans="1:4" x14ac:dyDescent="0.2">
      <c r="A281" s="5">
        <v>220</v>
      </c>
      <c r="B281" s="1832">
        <f>'Assets-Liab 5-6'!M41</f>
        <v>337863873</v>
      </c>
      <c r="C281" s="2" t="s">
        <v>569</v>
      </c>
      <c r="D281" s="2" t="str">
        <f t="shared" si="3"/>
        <v>Error?</v>
      </c>
    </row>
    <row r="282" spans="1:4" x14ac:dyDescent="0.2">
      <c r="A282" s="5">
        <v>221</v>
      </c>
      <c r="B282" s="1832">
        <f>'Assets-Liab 5-6'!N21</f>
        <v>3533568</v>
      </c>
      <c r="D282" s="2" t="str">
        <f t="shared" si="3"/>
        <v>Error?</v>
      </c>
    </row>
    <row r="283" spans="1:4" x14ac:dyDescent="0.2">
      <c r="A283" s="5">
        <v>222</v>
      </c>
      <c r="B283" s="1832">
        <f>'Assets-Liab 5-6'!N22</f>
        <v>37684879</v>
      </c>
      <c r="D283" s="2" t="str">
        <f t="shared" si="3"/>
        <v>Error?</v>
      </c>
    </row>
    <row r="284" spans="1:4" x14ac:dyDescent="0.2">
      <c r="A284" s="5">
        <v>223</v>
      </c>
      <c r="B284" s="1832">
        <f>'Assets-Liab 5-6'!N23</f>
        <v>41218447</v>
      </c>
      <c r="C284" s="2" t="s">
        <v>569</v>
      </c>
      <c r="D284" s="2" t="str">
        <f t="shared" si="3"/>
        <v>Error?</v>
      </c>
    </row>
    <row r="285" spans="1:4" x14ac:dyDescent="0.2">
      <c r="A285" s="5">
        <v>224</v>
      </c>
      <c r="B285" s="1832">
        <f>'Assets-Liab 5-6'!N36</f>
        <v>41218447</v>
      </c>
      <c r="D285" s="2" t="str">
        <f t="shared" si="3"/>
        <v>Error?</v>
      </c>
    </row>
    <row r="286" spans="1:4" x14ac:dyDescent="0.2">
      <c r="A286" s="10">
        <v>225</v>
      </c>
      <c r="B286" s="1832"/>
      <c r="D286" s="2" t="str">
        <f t="shared" si="3"/>
        <v>OK</v>
      </c>
    </row>
    <row r="287" spans="1:4" x14ac:dyDescent="0.2">
      <c r="A287" s="5">
        <v>226</v>
      </c>
      <c r="B287" s="1832">
        <f>'Assets-Liab 5-6'!N37</f>
        <v>41218447</v>
      </c>
      <c r="C287" s="2" t="s">
        <v>569</v>
      </c>
      <c r="D287" s="2" t="str">
        <f t="shared" si="3"/>
        <v>Error?</v>
      </c>
    </row>
    <row r="288" spans="1:4" x14ac:dyDescent="0.2">
      <c r="A288" s="5">
        <v>227</v>
      </c>
      <c r="B288" s="1832">
        <f>'Assets-Liab 5-6'!N41</f>
        <v>41218447</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30888680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423342</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775681</v>
      </c>
      <c r="D717" s="2" t="str">
        <f t="shared" si="10"/>
        <v>Error?</v>
      </c>
    </row>
    <row r="718" spans="1:4" x14ac:dyDescent="0.2">
      <c r="A718" s="5">
        <v>657</v>
      </c>
      <c r="B718" s="1832">
        <f>'Expenditures 15-22'!C14</f>
        <v>4168767</v>
      </c>
      <c r="D718" s="2" t="str">
        <f t="shared" si="10"/>
        <v>Error?</v>
      </c>
    </row>
    <row r="719" spans="1:4" x14ac:dyDescent="0.2">
      <c r="A719" s="5">
        <v>658</v>
      </c>
      <c r="B719" s="1832">
        <f>'Expenditures 15-22'!C15</f>
        <v>762720</v>
      </c>
      <c r="D719" s="2" t="str">
        <f t="shared" si="10"/>
        <v>Error?</v>
      </c>
    </row>
    <row r="720" spans="1:4" x14ac:dyDescent="0.2">
      <c r="A720" s="5">
        <v>659</v>
      </c>
      <c r="B720" s="1832">
        <f>'Expenditures 15-22'!C33</f>
        <v>43150072</v>
      </c>
      <c r="C720" s="2" t="s">
        <v>569</v>
      </c>
      <c r="D720" s="2" t="str">
        <f t="shared" si="10"/>
        <v>Error?</v>
      </c>
    </row>
    <row r="721" spans="1:4" x14ac:dyDescent="0.2">
      <c r="A721" s="5">
        <v>660</v>
      </c>
      <c r="B721" s="1832">
        <f>'Expenditures 15-22'!C36</f>
        <v>3030418</v>
      </c>
      <c r="D721" s="2" t="str">
        <f t="shared" si="10"/>
        <v>Error?</v>
      </c>
    </row>
    <row r="722" spans="1:4" x14ac:dyDescent="0.2">
      <c r="A722" s="5">
        <v>661</v>
      </c>
      <c r="B722" s="1832">
        <f>'Expenditures 15-22'!C37</f>
        <v>3373417</v>
      </c>
      <c r="D722" s="2" t="str">
        <f t="shared" si="10"/>
        <v>Error?</v>
      </c>
    </row>
    <row r="723" spans="1:4" x14ac:dyDescent="0.2">
      <c r="A723" s="5">
        <v>662</v>
      </c>
      <c r="B723" s="1832">
        <f>'Expenditures 15-22'!C38</f>
        <v>308319</v>
      </c>
      <c r="D723" s="2" t="str">
        <f t="shared" si="10"/>
        <v>Error?</v>
      </c>
    </row>
    <row r="724" spans="1:4" x14ac:dyDescent="0.2">
      <c r="A724" s="5">
        <v>663</v>
      </c>
      <c r="B724" s="1832">
        <f>'Expenditures 15-22'!C39</f>
        <v>117020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6829174</v>
      </c>
      <c r="C727" s="2" t="s">
        <v>569</v>
      </c>
      <c r="D727" s="2" t="str">
        <f t="shared" si="10"/>
        <v>Error?</v>
      </c>
    </row>
    <row r="728" spans="1:4" x14ac:dyDescent="0.2">
      <c r="A728" s="5">
        <v>667</v>
      </c>
      <c r="B728" s="1832">
        <f>'Expenditures 15-22'!C44</f>
        <v>94231</v>
      </c>
      <c r="D728" s="2" t="str">
        <f t="shared" si="10"/>
        <v>Error?</v>
      </c>
    </row>
    <row r="729" spans="1:4" x14ac:dyDescent="0.2">
      <c r="A729" s="5">
        <v>668</v>
      </c>
      <c r="B729" s="1832">
        <f>'Expenditures 15-22'!C45</f>
        <v>626850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721081</v>
      </c>
      <c r="C731" s="2" t="s">
        <v>569</v>
      </c>
      <c r="D731" s="2" t="str">
        <f t="shared" si="10"/>
        <v>Error?</v>
      </c>
    </row>
    <row r="732" spans="1:4" x14ac:dyDescent="0.2">
      <c r="A732" s="5">
        <v>671</v>
      </c>
      <c r="B732" s="1832">
        <f>'Expenditures 15-22'!C49</f>
        <v>4380</v>
      </c>
      <c r="D732" s="2" t="str">
        <f t="shared" si="10"/>
        <v>Error?</v>
      </c>
    </row>
    <row r="733" spans="1:4" x14ac:dyDescent="0.2">
      <c r="A733" s="5">
        <v>672</v>
      </c>
      <c r="B733" s="1832">
        <f>'Expenditures 15-22'!C50</f>
        <v>341522</v>
      </c>
      <c r="D733" s="2" t="str">
        <f t="shared" si="10"/>
        <v>Error?</v>
      </c>
    </row>
    <row r="734" spans="1:4" x14ac:dyDescent="0.2">
      <c r="A734" s="5">
        <v>673</v>
      </c>
      <c r="B734" s="1832">
        <f>'Expenditures 15-22'!C53</f>
        <v>345902</v>
      </c>
      <c r="C734" s="2" t="s">
        <v>569</v>
      </c>
      <c r="D734" s="2" t="str">
        <f t="shared" si="10"/>
        <v>Error?</v>
      </c>
    </row>
    <row r="735" spans="1:4" x14ac:dyDescent="0.2">
      <c r="A735" s="5">
        <v>674</v>
      </c>
      <c r="B735" s="1832">
        <f>'Expenditures 15-22'!C55</f>
        <v>337593</v>
      </c>
      <c r="D735" s="2" t="str">
        <f t="shared" si="10"/>
        <v>Error?</v>
      </c>
    </row>
    <row r="736" spans="1:4" x14ac:dyDescent="0.2">
      <c r="A736" s="5">
        <v>675</v>
      </c>
      <c r="B736" s="1832">
        <f>'Expenditures 15-22'!C56</f>
        <v>409452</v>
      </c>
      <c r="D736" s="2" t="str">
        <f t="shared" si="10"/>
        <v>Error?</v>
      </c>
    </row>
    <row r="737" spans="1:4" x14ac:dyDescent="0.2">
      <c r="A737" s="5">
        <v>676</v>
      </c>
      <c r="B737" s="1832">
        <f>'Expenditures 15-22'!C57</f>
        <v>747045</v>
      </c>
      <c r="C737" s="2" t="s">
        <v>569</v>
      </c>
      <c r="D737" s="2" t="str">
        <f t="shared" si="10"/>
        <v>Error?</v>
      </c>
    </row>
    <row r="738" spans="1:4" x14ac:dyDescent="0.2">
      <c r="A738" s="5">
        <v>677</v>
      </c>
      <c r="B738" s="1832">
        <f>'Expenditures 15-22'!C59</f>
        <v>253195</v>
      </c>
      <c r="D738" s="2" t="str">
        <f t="shared" si="10"/>
        <v>Error?</v>
      </c>
    </row>
    <row r="739" spans="1:4" x14ac:dyDescent="0.2">
      <c r="A739" s="5">
        <v>678</v>
      </c>
      <c r="B739" s="1832">
        <f>'Expenditures 15-22'!C60</f>
        <v>639177</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892372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2604754</v>
      </c>
      <c r="D747" s="2" t="str">
        <f t="shared" si="10"/>
        <v>Error?</v>
      </c>
    </row>
    <row r="748" spans="1:4" x14ac:dyDescent="0.2">
      <c r="A748" s="5">
        <v>687</v>
      </c>
      <c r="B748" s="1832">
        <f>'Expenditures 15-22'!C69</f>
        <v>1112649</v>
      </c>
      <c r="D748" s="2" t="str">
        <f t="shared" si="10"/>
        <v>Error?</v>
      </c>
    </row>
    <row r="749" spans="1:4" x14ac:dyDescent="0.2">
      <c r="A749" s="5">
        <v>688</v>
      </c>
      <c r="B749" s="1832">
        <f>'Expenditures 15-22'!C70</f>
        <v>418971</v>
      </c>
      <c r="D749" s="2" t="str">
        <f t="shared" si="10"/>
        <v>Error?</v>
      </c>
    </row>
    <row r="750" spans="1:4" x14ac:dyDescent="0.2">
      <c r="A750" s="10">
        <v>689</v>
      </c>
      <c r="B750" s="1832"/>
      <c r="D750" s="2" t="str">
        <f t="shared" si="10"/>
        <v>OK</v>
      </c>
    </row>
    <row r="751" spans="1:4" x14ac:dyDescent="0.2">
      <c r="A751" s="5">
        <v>690</v>
      </c>
      <c r="B751" s="1832">
        <f>'Expenditures 15-22'!C71</f>
        <v>114942</v>
      </c>
      <c r="D751" s="2" t="str">
        <f t="shared" si="10"/>
        <v>Error?</v>
      </c>
    </row>
    <row r="752" spans="1:4" x14ac:dyDescent="0.2">
      <c r="A752" s="10">
        <v>691</v>
      </c>
      <c r="B752" s="1832"/>
      <c r="D752" s="2" t="str">
        <f t="shared" si="10"/>
        <v>OK</v>
      </c>
    </row>
    <row r="753" spans="1:4" x14ac:dyDescent="0.2">
      <c r="A753" s="5">
        <v>692</v>
      </c>
      <c r="B753" s="1832">
        <f>'Expenditures 15-22'!C72</f>
        <v>4251316</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13786890</v>
      </c>
      <c r="C755" s="2" t="s">
        <v>569</v>
      </c>
      <c r="D755" s="2" t="str">
        <f t="shared" si="10"/>
        <v>Error?</v>
      </c>
    </row>
    <row r="756" spans="1:4" x14ac:dyDescent="0.2">
      <c r="A756" s="5">
        <v>695</v>
      </c>
      <c r="B756" s="1832">
        <f>'Expenditures 15-22'!C75</f>
        <v>2347463</v>
      </c>
      <c r="D756" s="2" t="str">
        <f t="shared" si="10"/>
        <v>Error?</v>
      </c>
    </row>
    <row r="757" spans="1:4" x14ac:dyDescent="0.2">
      <c r="A757" s="5">
        <v>696</v>
      </c>
      <c r="B757" s="1832">
        <f>'Expenditures 15-22'!C114</f>
        <v>59284425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5182229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103129</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117191</v>
      </c>
      <c r="D775" s="2" t="str">
        <f t="shared" si="11"/>
        <v>Error?</v>
      </c>
    </row>
    <row r="776" spans="1:4" x14ac:dyDescent="0.2">
      <c r="A776" s="5">
        <v>715</v>
      </c>
      <c r="B776" s="1832">
        <f>'Expenditures 15-22'!D14</f>
        <v>297986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6747917</v>
      </c>
      <c r="C778" s="2" t="s">
        <v>569</v>
      </c>
      <c r="D778" s="2" t="str">
        <f t="shared" si="11"/>
        <v>Error?</v>
      </c>
    </row>
    <row r="779" spans="1:4" x14ac:dyDescent="0.2">
      <c r="A779" s="5">
        <v>718</v>
      </c>
      <c r="B779" s="1832">
        <f>'Expenditures 15-22'!D36</f>
        <v>682669</v>
      </c>
      <c r="D779" s="2" t="str">
        <f t="shared" si="11"/>
        <v>Error?</v>
      </c>
    </row>
    <row r="780" spans="1:4" x14ac:dyDescent="0.2">
      <c r="A780" s="5">
        <v>719</v>
      </c>
      <c r="B780" s="1832">
        <f>'Expenditures 15-22'!D37</f>
        <v>617964</v>
      </c>
      <c r="D780" s="2" t="str">
        <f t="shared" si="11"/>
        <v>Error?</v>
      </c>
    </row>
    <row r="781" spans="1:4" x14ac:dyDescent="0.2">
      <c r="A781" s="5">
        <v>720</v>
      </c>
      <c r="B781" s="1832">
        <f>'Expenditures 15-22'!D38</f>
        <v>36480</v>
      </c>
      <c r="D781" s="2" t="str">
        <f t="shared" si="11"/>
        <v>Error?</v>
      </c>
    </row>
    <row r="782" spans="1:4" x14ac:dyDescent="0.2">
      <c r="A782" s="5">
        <v>721</v>
      </c>
      <c r="B782" s="1832">
        <f>'Expenditures 15-22'!D39</f>
        <v>1435</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1338548</v>
      </c>
      <c r="C785" s="2" t="s">
        <v>569</v>
      </c>
      <c r="D785" s="2" t="str">
        <f t="shared" si="11"/>
        <v>Error?</v>
      </c>
    </row>
    <row r="786" spans="1:4" x14ac:dyDescent="0.2">
      <c r="A786" s="5">
        <v>725</v>
      </c>
      <c r="B786" s="1832">
        <f>'Expenditures 15-22'!D44</f>
        <v>21003</v>
      </c>
      <c r="D786" s="2" t="str">
        <f t="shared" si="11"/>
        <v>Error?</v>
      </c>
    </row>
    <row r="787" spans="1:4" x14ac:dyDescent="0.2">
      <c r="A787" s="5">
        <v>726</v>
      </c>
      <c r="B787" s="1832">
        <f>'Expenditures 15-22'!D45</f>
        <v>108851</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129854</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62998</v>
      </c>
      <c r="D791" s="2" t="str">
        <f t="shared" si="11"/>
        <v>Error?</v>
      </c>
    </row>
    <row r="792" spans="1:4" x14ac:dyDescent="0.2">
      <c r="A792" s="5">
        <v>731</v>
      </c>
      <c r="B792" s="1832">
        <f>'Expenditures 15-22'!D53</f>
        <v>62998</v>
      </c>
      <c r="C792" s="2" t="s">
        <v>569</v>
      </c>
      <c r="D792" s="2" t="str">
        <f t="shared" si="11"/>
        <v>Error?</v>
      </c>
    </row>
    <row r="793" spans="1:4" x14ac:dyDescent="0.2">
      <c r="A793" s="5">
        <v>732</v>
      </c>
      <c r="B793" s="1832">
        <f>'Expenditures 15-22'!D55</f>
        <v>70662</v>
      </c>
      <c r="D793" s="2" t="str">
        <f t="shared" si="11"/>
        <v>Error?</v>
      </c>
    </row>
    <row r="794" spans="1:4" x14ac:dyDescent="0.2">
      <c r="A794" s="5">
        <v>733</v>
      </c>
      <c r="B794" s="1832">
        <f>'Expenditures 15-22'!D56</f>
        <v>94233</v>
      </c>
      <c r="D794" s="2" t="str">
        <f t="shared" si="11"/>
        <v>Error?</v>
      </c>
    </row>
    <row r="795" spans="1:4" x14ac:dyDescent="0.2">
      <c r="A795" s="5">
        <v>734</v>
      </c>
      <c r="B795" s="1832">
        <f>'Expenditures 15-22'!D57</f>
        <v>164895</v>
      </c>
      <c r="C795" s="2" t="s">
        <v>569</v>
      </c>
      <c r="D795" s="2" t="str">
        <f t="shared" si="11"/>
        <v>Error?</v>
      </c>
    </row>
    <row r="796" spans="1:4" x14ac:dyDescent="0.2">
      <c r="A796" s="5">
        <v>735</v>
      </c>
      <c r="B796" s="1832">
        <f>'Expenditures 15-22'!D59</f>
        <v>56461</v>
      </c>
      <c r="D796" s="2" t="str">
        <f t="shared" si="11"/>
        <v>Error?</v>
      </c>
    </row>
    <row r="797" spans="1:4" x14ac:dyDescent="0.2">
      <c r="A797" s="5">
        <v>736</v>
      </c>
      <c r="B797" s="1832">
        <f>'Expenditures 15-22'!D60</f>
        <v>103344</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159805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585320</v>
      </c>
      <c r="D805" s="2" t="str">
        <f t="shared" si="11"/>
        <v>Error?</v>
      </c>
    </row>
    <row r="806" spans="1:4" x14ac:dyDescent="0.2">
      <c r="A806" s="5">
        <v>745</v>
      </c>
      <c r="B806" s="1832">
        <f>'Expenditures 15-22'!D69</f>
        <v>146726</v>
      </c>
      <c r="D806" s="2" t="str">
        <f t="shared" si="11"/>
        <v>Error?</v>
      </c>
    </row>
    <row r="807" spans="1:4" x14ac:dyDescent="0.2">
      <c r="A807" s="5">
        <v>746</v>
      </c>
      <c r="B807" s="1832">
        <f>'Expenditures 15-22'!D70</f>
        <v>83867</v>
      </c>
      <c r="D807" s="2" t="str">
        <f t="shared" si="11"/>
        <v>Error?</v>
      </c>
    </row>
    <row r="808" spans="1:4" x14ac:dyDescent="0.2">
      <c r="A808" s="10">
        <v>747</v>
      </c>
      <c r="B808" s="1832"/>
      <c r="D808" s="2" t="str">
        <f t="shared" si="11"/>
        <v>OK</v>
      </c>
    </row>
    <row r="809" spans="1:4" x14ac:dyDescent="0.2">
      <c r="A809" s="5">
        <v>748</v>
      </c>
      <c r="B809" s="1832">
        <f>'Expenditures 15-22'!D71</f>
        <v>55368</v>
      </c>
      <c r="D809" s="2" t="str">
        <f t="shared" si="11"/>
        <v>Error?</v>
      </c>
    </row>
    <row r="810" spans="1:4" x14ac:dyDescent="0.2">
      <c r="A810" s="10">
        <v>749</v>
      </c>
      <c r="B810" s="1832"/>
      <c r="D810" s="2" t="str">
        <f t="shared" si="11"/>
        <v>OK</v>
      </c>
    </row>
    <row r="811" spans="1:4" x14ac:dyDescent="0.2">
      <c r="A811" s="5">
        <v>750</v>
      </c>
      <c r="B811" s="1832">
        <f>'Expenditures 15-22'!D72</f>
        <v>871281</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2727381</v>
      </c>
      <c r="C813" s="2" t="s">
        <v>569</v>
      </c>
      <c r="D813" s="2" t="str">
        <f t="shared" si="11"/>
        <v>Error?</v>
      </c>
    </row>
    <row r="814" spans="1:4" x14ac:dyDescent="0.2">
      <c r="A814" s="5">
        <v>753</v>
      </c>
      <c r="B814" s="1832">
        <f>'Expenditures 15-22'!D75</f>
        <v>251329</v>
      </c>
      <c r="D814" s="2" t="str">
        <f t="shared" si="11"/>
        <v>Error?</v>
      </c>
    </row>
    <row r="815" spans="1:4" x14ac:dyDescent="0.2">
      <c r="A815" s="5">
        <v>754</v>
      </c>
      <c r="B815" s="1832">
        <f>'Expenditures 15-22'!D114</f>
        <v>9726627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356613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12657</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627648</v>
      </c>
      <c r="D834" s="2" t="str">
        <f t="shared" si="12"/>
        <v>Error?</v>
      </c>
    </row>
    <row r="835" spans="1:4" x14ac:dyDescent="0.2">
      <c r="A835" s="5">
        <v>774</v>
      </c>
      <c r="B835" s="1832">
        <f>'Expenditures 15-22'!E15</f>
        <v>10289</v>
      </c>
      <c r="D835" s="2" t="str">
        <f t="shared" si="12"/>
        <v>Error?</v>
      </c>
    </row>
    <row r="836" spans="1:4" x14ac:dyDescent="0.2">
      <c r="A836" s="5">
        <v>775</v>
      </c>
      <c r="B836" s="1832">
        <f>'Expenditures 15-22'!E33</f>
        <v>1021380</v>
      </c>
      <c r="C836" s="2" t="s">
        <v>569</v>
      </c>
      <c r="D836" s="2" t="str">
        <f t="shared" si="12"/>
        <v>Error?</v>
      </c>
    </row>
    <row r="837" spans="1:4" x14ac:dyDescent="0.2">
      <c r="A837" s="5">
        <v>776</v>
      </c>
      <c r="B837" s="1832">
        <f>'Expenditures 15-22'!E36</f>
        <v>36496</v>
      </c>
      <c r="D837" s="2" t="str">
        <f t="shared" si="12"/>
        <v>Error?</v>
      </c>
    </row>
    <row r="838" spans="1:4" x14ac:dyDescent="0.2">
      <c r="A838" s="5">
        <v>777</v>
      </c>
      <c r="B838" s="1832">
        <f>'Expenditures 15-22'!E37</f>
        <v>84445</v>
      </c>
      <c r="D838" s="2" t="str">
        <f t="shared" si="12"/>
        <v>Error?</v>
      </c>
    </row>
    <row r="839" spans="1:4" x14ac:dyDescent="0.2">
      <c r="A839" s="5">
        <v>778</v>
      </c>
      <c r="B839" s="1832">
        <f>'Expenditures 15-22'!E38</f>
        <v>44280</v>
      </c>
      <c r="D839" s="2" t="str">
        <f t="shared" si="12"/>
        <v>Error?</v>
      </c>
    </row>
    <row r="840" spans="1:4" x14ac:dyDescent="0.2">
      <c r="A840" s="5">
        <v>779</v>
      </c>
      <c r="B840" s="1832">
        <f>'Expenditures 15-22'!E39</f>
        <v>11954</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177175</v>
      </c>
      <c r="C843" s="2" t="s">
        <v>569</v>
      </c>
      <c r="D843" s="2" t="str">
        <f t="shared" si="12"/>
        <v>Error?</v>
      </c>
    </row>
    <row r="844" spans="1:4" x14ac:dyDescent="0.2">
      <c r="A844" s="5">
        <v>783</v>
      </c>
      <c r="B844" s="1832">
        <f>'Expenditures 15-22'!E44</f>
        <v>339075</v>
      </c>
      <c r="D844" s="2" t="str">
        <f t="shared" si="12"/>
        <v>Error?</v>
      </c>
    </row>
    <row r="845" spans="1:4" x14ac:dyDescent="0.2">
      <c r="A845" s="5">
        <v>784</v>
      </c>
      <c r="B845" s="1832">
        <f>'Expenditures 15-22'!E45</f>
        <v>14062</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353137</v>
      </c>
      <c r="C847" s="2" t="s">
        <v>569</v>
      </c>
      <c r="D847" s="2" t="str">
        <f t="shared" si="12"/>
        <v>Error?</v>
      </c>
    </row>
    <row r="848" spans="1:4" x14ac:dyDescent="0.2">
      <c r="A848" s="5">
        <v>787</v>
      </c>
      <c r="B848" s="1832">
        <f>'Expenditures 15-22'!E49</f>
        <v>269405</v>
      </c>
      <c r="D848" s="2" t="str">
        <f t="shared" si="12"/>
        <v>Error?</v>
      </c>
    </row>
    <row r="849" spans="1:4" x14ac:dyDescent="0.2">
      <c r="A849" s="5">
        <v>788</v>
      </c>
      <c r="B849" s="1832">
        <f>'Expenditures 15-22'!E50</f>
        <v>18376</v>
      </c>
      <c r="D849" s="2" t="str">
        <f t="shared" si="12"/>
        <v>Error?</v>
      </c>
    </row>
    <row r="850" spans="1:4" x14ac:dyDescent="0.2">
      <c r="A850" s="5">
        <v>789</v>
      </c>
      <c r="B850" s="1832">
        <f>'Expenditures 15-22'!E53</f>
        <v>287781</v>
      </c>
      <c r="C850" s="2" t="s">
        <v>569</v>
      </c>
      <c r="D850" s="2" t="str">
        <f t="shared" si="12"/>
        <v>Error?</v>
      </c>
    </row>
    <row r="851" spans="1:4" x14ac:dyDescent="0.2">
      <c r="A851" s="5">
        <v>790</v>
      </c>
      <c r="B851" s="1832">
        <f>'Expenditures 15-22'!E55</f>
        <v>8017</v>
      </c>
      <c r="D851" s="2" t="str">
        <f t="shared" si="12"/>
        <v>Error?</v>
      </c>
    </row>
    <row r="852" spans="1:4" x14ac:dyDescent="0.2">
      <c r="A852" s="5">
        <v>791</v>
      </c>
      <c r="B852" s="1832">
        <f>'Expenditures 15-22'!E56</f>
        <v>35245</v>
      </c>
      <c r="D852" s="2" t="str">
        <f t="shared" si="12"/>
        <v>Error?</v>
      </c>
    </row>
    <row r="853" spans="1:4" x14ac:dyDescent="0.2">
      <c r="A853" s="5">
        <v>792</v>
      </c>
      <c r="B853" s="1832">
        <f>'Expenditures 15-22'!E57</f>
        <v>43262</v>
      </c>
      <c r="C853" s="2" t="s">
        <v>569</v>
      </c>
      <c r="D853" s="2" t="str">
        <f t="shared" si="12"/>
        <v>Error?</v>
      </c>
    </row>
    <row r="854" spans="1:4" x14ac:dyDescent="0.2">
      <c r="A854" s="5">
        <v>793</v>
      </c>
      <c r="B854" s="1832">
        <f>'Expenditures 15-22'!E59</f>
        <v>45623</v>
      </c>
      <c r="D854" s="2" t="str">
        <f t="shared" si="12"/>
        <v>Error?</v>
      </c>
    </row>
    <row r="855" spans="1:4" x14ac:dyDescent="0.2">
      <c r="A855" s="5">
        <v>794</v>
      </c>
      <c r="B855" s="1832">
        <f>'Expenditures 15-22'!E60</f>
        <v>43397</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2569496</v>
      </c>
      <c r="D858" s="2" t="str">
        <f t="shared" si="12"/>
        <v>Error?</v>
      </c>
    </row>
    <row r="859" spans="1:4" x14ac:dyDescent="0.2">
      <c r="A859" s="5">
        <v>798</v>
      </c>
      <c r="B859" s="1832">
        <f>'Expenditures 15-22'!E64</f>
        <v>755715</v>
      </c>
      <c r="D859" s="2" t="str">
        <f t="shared" si="12"/>
        <v>Error?</v>
      </c>
    </row>
    <row r="860" spans="1:4" x14ac:dyDescent="0.2">
      <c r="A860" s="10">
        <v>799</v>
      </c>
      <c r="B860" s="1832"/>
      <c r="D860" s="2" t="str">
        <f t="shared" si="12"/>
        <v>OK</v>
      </c>
    </row>
    <row r="861" spans="1:4" x14ac:dyDescent="0.2">
      <c r="A861" s="5">
        <v>800</v>
      </c>
      <c r="B861" s="1832">
        <f>'Expenditures 15-22'!E65</f>
        <v>3414231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265929</v>
      </c>
      <c r="D863" s="2" t="str">
        <f t="shared" si="12"/>
        <v>Error?</v>
      </c>
    </row>
    <row r="864" spans="1:4" x14ac:dyDescent="0.2">
      <c r="A864" s="5">
        <v>803</v>
      </c>
      <c r="B864" s="1832">
        <f>'Expenditures 15-22'!E69</f>
        <v>638096</v>
      </c>
      <c r="D864" s="2" t="str">
        <f t="shared" si="12"/>
        <v>Error?</v>
      </c>
    </row>
    <row r="865" spans="1:4" x14ac:dyDescent="0.2">
      <c r="A865" s="5">
        <v>804</v>
      </c>
      <c r="B865" s="1832">
        <f>'Expenditures 15-22'!E70</f>
        <v>13219</v>
      </c>
      <c r="D865" s="2" t="str">
        <f t="shared" si="12"/>
        <v>Error?</v>
      </c>
    </row>
    <row r="866" spans="1:4" x14ac:dyDescent="0.2">
      <c r="A866" s="10">
        <v>805</v>
      </c>
      <c r="B866" s="1832"/>
      <c r="D866" s="2" t="str">
        <f t="shared" si="12"/>
        <v>OK</v>
      </c>
    </row>
    <row r="867" spans="1:4" x14ac:dyDescent="0.2">
      <c r="A867" s="5">
        <v>806</v>
      </c>
      <c r="B867" s="1832">
        <f>'Expenditures 15-22'!E71</f>
        <v>10566</v>
      </c>
      <c r="D867" s="2" t="str">
        <f t="shared" si="12"/>
        <v>Error?</v>
      </c>
    </row>
    <row r="868" spans="1:4" x14ac:dyDescent="0.2">
      <c r="A868" s="10">
        <v>807</v>
      </c>
      <c r="B868" s="1832"/>
      <c r="D868" s="2" t="str">
        <f t="shared" si="12"/>
        <v>OK</v>
      </c>
    </row>
    <row r="869" spans="1:4" x14ac:dyDescent="0.2">
      <c r="A869" s="5">
        <v>808</v>
      </c>
      <c r="B869" s="1832">
        <f>'Expenditures 15-22'!E72</f>
        <v>927810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5203396</v>
      </c>
      <c r="C871" s="2" t="s">
        <v>569</v>
      </c>
      <c r="D871" s="2" t="str">
        <f t="shared" si="12"/>
        <v>Error?</v>
      </c>
    </row>
    <row r="872" spans="1:4" x14ac:dyDescent="0.2">
      <c r="A872" s="5">
        <v>811</v>
      </c>
      <c r="B872" s="1832">
        <f>'Expenditures 15-22'!E75</f>
        <v>68226</v>
      </c>
      <c r="D872" s="2" t="str">
        <f t="shared" si="12"/>
        <v>Error?</v>
      </c>
    </row>
    <row r="873" spans="1:4" x14ac:dyDescent="0.2">
      <c r="A873" s="5">
        <v>812</v>
      </c>
      <c r="B873" s="1832">
        <f>'Expenditures 15-22'!E114</f>
        <v>12465920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822742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10658</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93088</v>
      </c>
      <c r="D891" s="2" t="str">
        <f t="shared" si="12"/>
        <v>Error?</v>
      </c>
    </row>
    <row r="892" spans="1:4" x14ac:dyDescent="0.2">
      <c r="A892" s="5">
        <v>831</v>
      </c>
      <c r="B892" s="1832">
        <f>'Expenditures 15-22'!F14</f>
        <v>118447</v>
      </c>
      <c r="D892" s="2" t="str">
        <f t="shared" si="12"/>
        <v>Error?</v>
      </c>
    </row>
    <row r="893" spans="1:4" x14ac:dyDescent="0.2">
      <c r="A893" s="5">
        <v>832</v>
      </c>
      <c r="B893" s="1832">
        <f>'Expenditures 15-22'!F15</f>
        <v>11705</v>
      </c>
      <c r="D893" s="2" t="str">
        <f t="shared" si="12"/>
        <v>Error?</v>
      </c>
    </row>
    <row r="894" spans="1:4" x14ac:dyDescent="0.2">
      <c r="A894" s="5">
        <v>833</v>
      </c>
      <c r="B894" s="1832">
        <f>'Expenditures 15-22'!F33</f>
        <v>1091581</v>
      </c>
      <c r="C894" s="2" t="s">
        <v>569</v>
      </c>
      <c r="D894" s="2" t="str">
        <f t="shared" si="12"/>
        <v>Error?</v>
      </c>
    </row>
    <row r="895" spans="1:4" x14ac:dyDescent="0.2">
      <c r="A895" s="5">
        <v>834</v>
      </c>
      <c r="B895" s="1832">
        <f>'Expenditures 15-22'!F36</f>
        <v>9899</v>
      </c>
      <c r="D895" s="2" t="str">
        <f t="shared" ref="D895:D958" si="13">IF(ISBLANK(B895),"OK",IF(A895-B895=0,"OK","Error?"))</f>
        <v>Error?</v>
      </c>
    </row>
    <row r="896" spans="1:4" x14ac:dyDescent="0.2">
      <c r="A896" s="5">
        <v>835</v>
      </c>
      <c r="B896" s="1832">
        <f>'Expenditures 15-22'!F37</f>
        <v>34348</v>
      </c>
      <c r="D896" s="2" t="str">
        <f t="shared" si="13"/>
        <v>Error?</v>
      </c>
    </row>
    <row r="897" spans="1:4" x14ac:dyDescent="0.2">
      <c r="A897" s="5">
        <v>836</v>
      </c>
      <c r="B897" s="1832">
        <f>'Expenditures 15-22'!F38</f>
        <v>11951</v>
      </c>
      <c r="D897" s="2" t="str">
        <f t="shared" si="13"/>
        <v>Error?</v>
      </c>
    </row>
    <row r="898" spans="1:4" x14ac:dyDescent="0.2">
      <c r="A898" s="5">
        <v>837</v>
      </c>
      <c r="B898" s="1832">
        <f>'Expenditures 15-22'!F39</f>
        <v>17340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73538</v>
      </c>
      <c r="C901" s="2" t="s">
        <v>569</v>
      </c>
      <c r="D901" s="2" t="str">
        <f t="shared" si="13"/>
        <v>Error?</v>
      </c>
    </row>
    <row r="902" spans="1:4" x14ac:dyDescent="0.2">
      <c r="A902" s="5">
        <v>841</v>
      </c>
      <c r="B902" s="1832">
        <f>'Expenditures 15-22'!F44</f>
        <v>235004</v>
      </c>
      <c r="D902" s="2" t="str">
        <f t="shared" si="13"/>
        <v>Error?</v>
      </c>
    </row>
    <row r="903" spans="1:4" x14ac:dyDescent="0.2">
      <c r="A903" s="5">
        <v>842</v>
      </c>
      <c r="B903" s="1832">
        <f>'Expenditures 15-22'!F45</f>
        <v>196833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431837</v>
      </c>
      <c r="C905" s="2" t="s">
        <v>569</v>
      </c>
      <c r="D905" s="2" t="str">
        <f t="shared" si="13"/>
        <v>Error?</v>
      </c>
    </row>
    <row r="906" spans="1:4" x14ac:dyDescent="0.2">
      <c r="A906" s="5">
        <v>845</v>
      </c>
      <c r="B906" s="1832">
        <f>'Expenditures 15-22'!F49</f>
        <v>10015</v>
      </c>
      <c r="D906" s="2" t="str">
        <f t="shared" si="13"/>
        <v>Error?</v>
      </c>
    </row>
    <row r="907" spans="1:4" x14ac:dyDescent="0.2">
      <c r="A907" s="5">
        <v>846</v>
      </c>
      <c r="B907" s="1832">
        <f>'Expenditures 15-22'!F50</f>
        <v>13760</v>
      </c>
      <c r="D907" s="2" t="str">
        <f t="shared" si="13"/>
        <v>Error?</v>
      </c>
    </row>
    <row r="908" spans="1:4" x14ac:dyDescent="0.2">
      <c r="A908" s="5">
        <v>847</v>
      </c>
      <c r="B908" s="1832">
        <f>'Expenditures 15-22'!F53</f>
        <v>23775</v>
      </c>
      <c r="C908" s="2" t="s">
        <v>569</v>
      </c>
      <c r="D908" s="2" t="str">
        <f t="shared" si="13"/>
        <v>Error?</v>
      </c>
    </row>
    <row r="909" spans="1:4" x14ac:dyDescent="0.2">
      <c r="A909" s="5">
        <v>848</v>
      </c>
      <c r="B909" s="1832">
        <f>'Expenditures 15-22'!F55</f>
        <v>61689</v>
      </c>
      <c r="D909" s="2" t="str">
        <f t="shared" si="13"/>
        <v>Error?</v>
      </c>
    </row>
    <row r="910" spans="1:4" x14ac:dyDescent="0.2">
      <c r="A910" s="5">
        <v>849</v>
      </c>
      <c r="B910" s="1832">
        <f>'Expenditures 15-22'!F56</f>
        <v>8565</v>
      </c>
      <c r="D910" s="2" t="str">
        <f t="shared" si="13"/>
        <v>Error?</v>
      </c>
    </row>
    <row r="911" spans="1:4" x14ac:dyDescent="0.2">
      <c r="A911" s="5">
        <v>850</v>
      </c>
      <c r="B911" s="1832">
        <f>'Expenditures 15-22'!F57</f>
        <v>70254</v>
      </c>
      <c r="C911" s="2" t="s">
        <v>569</v>
      </c>
      <c r="D911" s="2" t="str">
        <f t="shared" si="13"/>
        <v>Error?</v>
      </c>
    </row>
    <row r="912" spans="1:4" x14ac:dyDescent="0.2">
      <c r="A912" s="5">
        <v>851</v>
      </c>
      <c r="B912" s="1832">
        <f>'Expenditures 15-22'!F59</f>
        <v>2148</v>
      </c>
      <c r="D912" s="2" t="str">
        <f t="shared" si="13"/>
        <v>Error?</v>
      </c>
    </row>
    <row r="913" spans="1:4" x14ac:dyDescent="0.2">
      <c r="A913" s="5">
        <v>852</v>
      </c>
      <c r="B913" s="1832">
        <f>'Expenditures 15-22'!F60</f>
        <v>64628</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11098</v>
      </c>
      <c r="D916" s="2" t="str">
        <f t="shared" si="13"/>
        <v>Error?</v>
      </c>
    </row>
    <row r="917" spans="1:4" x14ac:dyDescent="0.2">
      <c r="A917" s="5">
        <v>856</v>
      </c>
      <c r="B917" s="1832">
        <f>'Expenditures 15-22'!F64</f>
        <v>170304</v>
      </c>
      <c r="D917" s="2" t="str">
        <f t="shared" si="13"/>
        <v>Error?</v>
      </c>
    </row>
    <row r="918" spans="1:4" x14ac:dyDescent="0.2">
      <c r="A918" s="10">
        <v>857</v>
      </c>
      <c r="B918" s="1832"/>
      <c r="D918" s="2" t="str">
        <f t="shared" si="13"/>
        <v>OK</v>
      </c>
    </row>
    <row r="919" spans="1:4" x14ac:dyDescent="0.2">
      <c r="A919" s="5">
        <v>858</v>
      </c>
      <c r="B919" s="1832">
        <f>'Expenditures 15-22'!F65</f>
        <v>248178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72681</v>
      </c>
      <c r="D921" s="2" t="str">
        <f t="shared" si="13"/>
        <v>Error?</v>
      </c>
    </row>
    <row r="922" spans="1:4" x14ac:dyDescent="0.2">
      <c r="A922" s="5">
        <v>861</v>
      </c>
      <c r="B922" s="1832">
        <f>'Expenditures 15-22'!F69</f>
        <v>1288815</v>
      </c>
      <c r="D922" s="2" t="str">
        <f t="shared" si="13"/>
        <v>Error?</v>
      </c>
    </row>
    <row r="923" spans="1:4" x14ac:dyDescent="0.2">
      <c r="A923" s="5">
        <v>862</v>
      </c>
      <c r="B923" s="1832">
        <f>'Expenditures 15-22'!F70</f>
        <v>58722</v>
      </c>
      <c r="D923" s="2" t="str">
        <f t="shared" si="13"/>
        <v>Error?</v>
      </c>
    </row>
    <row r="924" spans="1:4" x14ac:dyDescent="0.2">
      <c r="A924" s="10">
        <v>863</v>
      </c>
      <c r="B924" s="1832"/>
      <c r="D924" s="2" t="str">
        <f t="shared" si="13"/>
        <v>OK</v>
      </c>
    </row>
    <row r="925" spans="1:4" x14ac:dyDescent="0.2">
      <c r="A925" s="5">
        <v>864</v>
      </c>
      <c r="B925" s="1832">
        <f>'Expenditures 15-22'!F71</f>
        <v>6522</v>
      </c>
      <c r="D925" s="2" t="str">
        <f t="shared" si="13"/>
        <v>Error?</v>
      </c>
    </row>
    <row r="926" spans="1:4" x14ac:dyDescent="0.2">
      <c r="A926" s="10">
        <v>865</v>
      </c>
      <c r="B926" s="1832"/>
      <c r="D926" s="2" t="str">
        <f t="shared" si="13"/>
        <v>OK</v>
      </c>
    </row>
    <row r="927" spans="1:4" x14ac:dyDescent="0.2">
      <c r="A927" s="5">
        <v>866</v>
      </c>
      <c r="B927" s="1832">
        <f>'Expenditures 15-22'!F72</f>
        <v>1426740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2274322</v>
      </c>
      <c r="C929" s="2" t="s">
        <v>569</v>
      </c>
      <c r="D929" s="2" t="str">
        <f t="shared" si="13"/>
        <v>Error?</v>
      </c>
    </row>
    <row r="930" spans="1:4" x14ac:dyDescent="0.2">
      <c r="A930" s="5">
        <v>869</v>
      </c>
      <c r="B930" s="1832">
        <f>'Expenditures 15-22'!F75</f>
        <v>8792</v>
      </c>
      <c r="D930" s="2" t="str">
        <f t="shared" si="13"/>
        <v>Error?</v>
      </c>
    </row>
    <row r="931" spans="1:4" x14ac:dyDescent="0.2">
      <c r="A931" s="5">
        <v>870</v>
      </c>
      <c r="B931" s="1832">
        <f>'Expenditures 15-22'!F114</f>
        <v>3374695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238763</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98017</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342589</v>
      </c>
      <c r="C952" s="2" t="s">
        <v>569</v>
      </c>
      <c r="D952" s="2" t="str">
        <f t="shared" si="13"/>
        <v>Error?</v>
      </c>
    </row>
    <row r="953" spans="1:4" x14ac:dyDescent="0.2">
      <c r="A953" s="5">
        <v>892</v>
      </c>
      <c r="B953" s="1832">
        <f>'Expenditures 15-22'!G36</f>
        <v>25301</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1779</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27080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151542</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151542</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35332</v>
      </c>
      <c r="D968" s="2" t="str">
        <f t="shared" si="14"/>
        <v>Error?</v>
      </c>
    </row>
    <row r="969" spans="1:4" x14ac:dyDescent="0.2">
      <c r="A969" s="5">
        <v>908</v>
      </c>
      <c r="B969" s="1832">
        <f>'Expenditures 15-22'!G57</f>
        <v>35332</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24985</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24985</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1955787</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1955787</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2194726</v>
      </c>
      <c r="C987" s="2" t="s">
        <v>569</v>
      </c>
      <c r="D987" s="2" t="str">
        <f t="shared" si="14"/>
        <v>Error?</v>
      </c>
    </row>
    <row r="988" spans="1:4" x14ac:dyDescent="0.2">
      <c r="A988" s="5">
        <v>927</v>
      </c>
      <c r="B988" s="1832">
        <f>'Expenditures 15-22'!G75</f>
        <v>83516</v>
      </c>
      <c r="D988" s="2" t="str">
        <f t="shared" si="14"/>
        <v>Error?</v>
      </c>
    </row>
    <row r="989" spans="1:4" x14ac:dyDescent="0.2">
      <c r="A989" s="5">
        <v>928</v>
      </c>
      <c r="B989" s="1832">
        <f>'Expenditures 15-22'!G114</f>
        <v>2620831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18492</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256953</v>
      </c>
      <c r="D1007" s="2" t="str">
        <f t="shared" si="14"/>
        <v>Error?</v>
      </c>
    </row>
    <row r="1008" spans="1:4" x14ac:dyDescent="0.2">
      <c r="A1008" s="5">
        <v>947</v>
      </c>
      <c r="B1008" s="1832">
        <f>'Expenditures 15-22'!H14</f>
        <v>5305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2405712</v>
      </c>
      <c r="C1010" s="2" t="s">
        <v>569</v>
      </c>
      <c r="D1010" s="2" t="str">
        <f t="shared" si="14"/>
        <v>Error?</v>
      </c>
    </row>
    <row r="1011" spans="1:4" x14ac:dyDescent="0.2">
      <c r="A1011" s="5">
        <v>950</v>
      </c>
      <c r="B1011" s="1832">
        <f>'Expenditures 15-22'!H36</f>
        <v>3739</v>
      </c>
      <c r="D1011" s="2" t="str">
        <f t="shared" si="14"/>
        <v>Error?</v>
      </c>
    </row>
    <row r="1012" spans="1:4" x14ac:dyDescent="0.2">
      <c r="A1012" s="5">
        <v>951</v>
      </c>
      <c r="B1012" s="1832">
        <f>'Expenditures 15-22'!H37</f>
        <v>3100</v>
      </c>
      <c r="D1012" s="2" t="str">
        <f t="shared" si="14"/>
        <v>Error?</v>
      </c>
    </row>
    <row r="1013" spans="1:4" x14ac:dyDescent="0.2">
      <c r="A1013" s="5">
        <v>952</v>
      </c>
      <c r="B1013" s="1832">
        <f>'Expenditures 15-22'!H38</f>
        <v>644</v>
      </c>
      <c r="D1013" s="2" t="str">
        <f t="shared" si="14"/>
        <v>Error?</v>
      </c>
    </row>
    <row r="1014" spans="1:4" x14ac:dyDescent="0.2">
      <c r="A1014" s="5">
        <v>953</v>
      </c>
      <c r="B1014" s="1832">
        <f>'Expenditures 15-22'!H39</f>
        <v>22</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7505</v>
      </c>
      <c r="C1017" s="2" t="s">
        <v>569</v>
      </c>
      <c r="D1017" s="2" t="str">
        <f t="shared" si="14"/>
        <v>Error?</v>
      </c>
    </row>
    <row r="1018" spans="1:4" x14ac:dyDescent="0.2">
      <c r="A1018" s="5">
        <v>957</v>
      </c>
      <c r="B1018" s="1832">
        <f>'Expenditures 15-22'!H44</f>
        <v>215062</v>
      </c>
      <c r="D1018" s="2" t="str">
        <f t="shared" si="14"/>
        <v>Error?</v>
      </c>
    </row>
    <row r="1019" spans="1:4" x14ac:dyDescent="0.2">
      <c r="A1019" s="5">
        <v>958</v>
      </c>
      <c r="B1019" s="1832">
        <f>'Expenditures 15-22'!H45</f>
        <v>3401</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218463</v>
      </c>
      <c r="C1021" s="2" t="s">
        <v>569</v>
      </c>
      <c r="D1021" s="2" t="str">
        <f t="shared" si="14"/>
        <v>Error?</v>
      </c>
    </row>
    <row r="1022" spans="1:4" x14ac:dyDescent="0.2">
      <c r="A1022" s="5">
        <v>961</v>
      </c>
      <c r="B1022" s="1832">
        <f>'Expenditures 15-22'!H49</f>
        <v>28411</v>
      </c>
      <c r="D1022" s="2" t="str">
        <f t="shared" si="14"/>
        <v>Error?</v>
      </c>
    </row>
    <row r="1023" spans="1:4" x14ac:dyDescent="0.2">
      <c r="A1023" s="5">
        <v>962</v>
      </c>
      <c r="B1023" s="1832">
        <f>'Expenditures 15-22'!H50</f>
        <v>11445</v>
      </c>
      <c r="D1023" s="2" t="str">
        <f t="shared" ref="D1023:D1086" si="15">IF(ISBLANK(B1023),"OK",IF(A1023-B1023=0,"OK","Error?"))</f>
        <v>Error?</v>
      </c>
    </row>
    <row r="1024" spans="1:4" x14ac:dyDescent="0.2">
      <c r="A1024" s="5">
        <v>963</v>
      </c>
      <c r="B1024" s="1832">
        <f>'Expenditures 15-22'!H53</f>
        <v>39856</v>
      </c>
      <c r="C1024" s="2" t="s">
        <v>569</v>
      </c>
      <c r="D1024" s="2" t="str">
        <f t="shared" si="15"/>
        <v>Error?</v>
      </c>
    </row>
    <row r="1025" spans="1:4" x14ac:dyDescent="0.2">
      <c r="A1025" s="5">
        <v>964</v>
      </c>
      <c r="B1025" s="1832">
        <f>'Expenditures 15-22'!H55</f>
        <v>10531</v>
      </c>
      <c r="D1025" s="2" t="str">
        <f t="shared" si="15"/>
        <v>Error?</v>
      </c>
    </row>
    <row r="1026" spans="1:4" x14ac:dyDescent="0.2">
      <c r="A1026" s="5">
        <v>965</v>
      </c>
      <c r="B1026" s="1832">
        <f>'Expenditures 15-22'!H56</f>
        <v>399</v>
      </c>
      <c r="D1026" s="2" t="str">
        <f t="shared" si="15"/>
        <v>Error?</v>
      </c>
    </row>
    <row r="1027" spans="1:4" x14ac:dyDescent="0.2">
      <c r="A1027" s="5">
        <v>966</v>
      </c>
      <c r="B1027" s="1832">
        <f>'Expenditures 15-22'!H57</f>
        <v>10930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3409</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3409</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3107</v>
      </c>
      <c r="D1037" s="2" t="str">
        <f t="shared" si="15"/>
        <v>Error?</v>
      </c>
    </row>
    <row r="1038" spans="1:4" x14ac:dyDescent="0.2">
      <c r="A1038" s="5">
        <v>977</v>
      </c>
      <c r="B1038" s="1832">
        <f>'Expenditures 15-22'!H69</f>
        <v>77133</v>
      </c>
      <c r="D1038" s="2" t="str">
        <f t="shared" si="15"/>
        <v>Error?</v>
      </c>
    </row>
    <row r="1039" spans="1:4" x14ac:dyDescent="0.2">
      <c r="A1039" s="5">
        <v>978</v>
      </c>
      <c r="B1039" s="1832">
        <f>'Expenditures 15-22'!H70</f>
        <v>805</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81045</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361208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738022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3504942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1991</v>
      </c>
      <c r="E1056" s="4" t="s">
        <v>1990</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37507519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549786</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1242913</v>
      </c>
      <c r="C1105" s="2" t="s">
        <v>569</v>
      </c>
      <c r="D1105" s="2" t="str">
        <f t="shared" si="16"/>
        <v>Error?</v>
      </c>
    </row>
    <row r="1106" spans="1:4" x14ac:dyDescent="0.2">
      <c r="A1106" s="5">
        <v>1045</v>
      </c>
      <c r="B1106" s="1832">
        <f>'Expenditures 15-22'!K14</f>
        <v>5316170</v>
      </c>
      <c r="C1106" s="2" t="s">
        <v>569</v>
      </c>
      <c r="D1106" s="2" t="str">
        <f t="shared" si="16"/>
        <v>Error?</v>
      </c>
    </row>
    <row r="1107" spans="1:4" x14ac:dyDescent="0.2">
      <c r="A1107" s="5">
        <v>1046</v>
      </c>
      <c r="B1107" s="1832">
        <f>'Expenditures 15-22'!K15</f>
        <v>784714</v>
      </c>
      <c r="C1107" s="2" t="s">
        <v>569</v>
      </c>
      <c r="D1107" s="2" t="str">
        <f t="shared" si="16"/>
        <v>Error?</v>
      </c>
    </row>
    <row r="1108" spans="1:4" x14ac:dyDescent="0.2">
      <c r="A1108" s="5">
        <v>1047</v>
      </c>
      <c r="B1108" s="1832">
        <f>'Expenditures 15-22'!K33</f>
        <v>54759251</v>
      </c>
      <c r="C1108" s="2" t="s">
        <v>569</v>
      </c>
      <c r="D1108" s="2" t="str">
        <f t="shared" si="16"/>
        <v>Error?</v>
      </c>
    </row>
    <row r="1109" spans="1:4" x14ac:dyDescent="0.2">
      <c r="A1109" s="5">
        <v>1048</v>
      </c>
      <c r="B1109" s="1832">
        <f>'Expenditures 15-22'!K36</f>
        <v>3788522</v>
      </c>
      <c r="C1109" s="2" t="s">
        <v>569</v>
      </c>
      <c r="D1109" s="2" t="str">
        <f t="shared" si="16"/>
        <v>Error?</v>
      </c>
    </row>
    <row r="1110" spans="1:4" x14ac:dyDescent="0.2">
      <c r="A1110" s="5">
        <v>1049</v>
      </c>
      <c r="B1110" s="1832">
        <f>'Expenditures 15-22'!K37</f>
        <v>4113274</v>
      </c>
      <c r="C1110" s="2" t="s">
        <v>569</v>
      </c>
      <c r="D1110" s="2" t="str">
        <f t="shared" si="16"/>
        <v>Error?</v>
      </c>
    </row>
    <row r="1111" spans="1:4" x14ac:dyDescent="0.2">
      <c r="A1111" s="5">
        <v>1050</v>
      </c>
      <c r="B1111" s="1832">
        <f>'Expenditures 15-22'!K38</f>
        <v>403453</v>
      </c>
      <c r="C1111" s="2" t="s">
        <v>569</v>
      </c>
      <c r="D1111" s="2" t="str">
        <f t="shared" si="16"/>
        <v>Error?</v>
      </c>
    </row>
    <row r="1112" spans="1:4" x14ac:dyDescent="0.2">
      <c r="A1112" s="5">
        <v>1051</v>
      </c>
      <c r="B1112" s="1832">
        <f>'Expenditures 15-22'!K39</f>
        <v>147771</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8453020</v>
      </c>
      <c r="C1115" s="2" t="s">
        <v>569</v>
      </c>
      <c r="D1115" s="2" t="str">
        <f t="shared" si="16"/>
        <v>Error?</v>
      </c>
    </row>
    <row r="1116" spans="1:4" x14ac:dyDescent="0.2">
      <c r="A1116" s="5">
        <v>1055</v>
      </c>
      <c r="B1116" s="1832">
        <f>'Expenditures 15-22'!K44</f>
        <v>904375</v>
      </c>
      <c r="C1116" s="2" t="s">
        <v>569</v>
      </c>
      <c r="D1116" s="2" t="str">
        <f t="shared" si="16"/>
        <v>Error?</v>
      </c>
    </row>
    <row r="1117" spans="1:4" x14ac:dyDescent="0.2">
      <c r="A1117" s="5">
        <v>1056</v>
      </c>
      <c r="B1117" s="1832">
        <f>'Expenditures 15-22'!K45</f>
        <v>1101539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2005914</v>
      </c>
      <c r="C1119" s="2" t="s">
        <v>569</v>
      </c>
      <c r="D1119" s="2" t="str">
        <f t="shared" si="16"/>
        <v>Error?</v>
      </c>
    </row>
    <row r="1120" spans="1:4" x14ac:dyDescent="0.2">
      <c r="A1120" s="5">
        <v>1059</v>
      </c>
      <c r="B1120" s="1832">
        <f>'Expenditures 15-22'!K49</f>
        <v>312211</v>
      </c>
      <c r="C1120" s="2" t="s">
        <v>569</v>
      </c>
      <c r="D1120" s="2" t="str">
        <f t="shared" si="16"/>
        <v>Error?</v>
      </c>
    </row>
    <row r="1121" spans="1:4" x14ac:dyDescent="0.2">
      <c r="A1121" s="5">
        <v>1060</v>
      </c>
      <c r="B1121" s="1832">
        <f>'Expenditures 15-22'!K50</f>
        <v>448101</v>
      </c>
      <c r="C1121" s="2" t="s">
        <v>569</v>
      </c>
      <c r="D1121" s="2" t="str">
        <f t="shared" si="16"/>
        <v>Error?</v>
      </c>
    </row>
    <row r="1122" spans="1:4" x14ac:dyDescent="0.2">
      <c r="A1122" s="5">
        <v>1061</v>
      </c>
      <c r="B1122" s="1832">
        <f>'Expenditures 15-22'!K53</f>
        <v>760312</v>
      </c>
      <c r="C1122" s="2" t="s">
        <v>569</v>
      </c>
      <c r="D1122" s="2" t="str">
        <f t="shared" si="16"/>
        <v>Error?</v>
      </c>
    </row>
    <row r="1123" spans="1:4" x14ac:dyDescent="0.2">
      <c r="A1123" s="5">
        <v>1062</v>
      </c>
      <c r="B1123" s="1832">
        <f>'Expenditures 15-22'!K55</f>
        <v>488492</v>
      </c>
      <c r="C1123" s="2" t="s">
        <v>569</v>
      </c>
      <c r="D1123" s="2" t="str">
        <f t="shared" si="16"/>
        <v>Error?</v>
      </c>
    </row>
    <row r="1124" spans="1:4" x14ac:dyDescent="0.2">
      <c r="A1124" s="5">
        <v>1063</v>
      </c>
      <c r="B1124" s="1832">
        <f>'Expenditures 15-22'!K56</f>
        <v>583226</v>
      </c>
      <c r="C1124" s="2" t="s">
        <v>569</v>
      </c>
      <c r="D1124" s="2" t="str">
        <f t="shared" si="16"/>
        <v>Error?</v>
      </c>
    </row>
    <row r="1125" spans="1:4" x14ac:dyDescent="0.2">
      <c r="A1125" s="5">
        <v>1064</v>
      </c>
      <c r="B1125" s="1832">
        <f>'Expenditures 15-22'!K57</f>
        <v>1071718</v>
      </c>
      <c r="C1125" s="2" t="s">
        <v>569</v>
      </c>
      <c r="D1125" s="2" t="str">
        <f t="shared" si="16"/>
        <v>Error?</v>
      </c>
    </row>
    <row r="1126" spans="1:4" x14ac:dyDescent="0.2">
      <c r="A1126" s="5">
        <v>1065</v>
      </c>
      <c r="B1126" s="1832">
        <f>'Expenditures 15-22'!K59</f>
        <v>357427</v>
      </c>
      <c r="C1126" s="2" t="s">
        <v>569</v>
      </c>
      <c r="D1126" s="2" t="str">
        <f t="shared" si="16"/>
        <v>Error?</v>
      </c>
    </row>
    <row r="1127" spans="1:4" x14ac:dyDescent="0.2">
      <c r="A1127" s="5">
        <v>1066</v>
      </c>
      <c r="B1127" s="1832">
        <f>'Expenditures 15-22'!K60</f>
        <v>853955</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2605579</v>
      </c>
      <c r="C1130" s="2" t="s">
        <v>569</v>
      </c>
      <c r="D1130" s="2" t="str">
        <f t="shared" si="16"/>
        <v>Error?</v>
      </c>
    </row>
    <row r="1131" spans="1:4" x14ac:dyDescent="0.2">
      <c r="A1131" s="5">
        <v>1070</v>
      </c>
      <c r="B1131" s="1832">
        <f>'Expenditures 15-22'!K64</f>
        <v>926019</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4742980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3531791</v>
      </c>
      <c r="C1135" s="2" t="s">
        <v>569</v>
      </c>
      <c r="D1135" s="2" t="str">
        <f t="shared" si="16"/>
        <v>Error?</v>
      </c>
    </row>
    <row r="1136" spans="1:4" x14ac:dyDescent="0.2">
      <c r="A1136" s="5">
        <v>1075</v>
      </c>
      <c r="B1136" s="1832">
        <f>'Expenditures 15-22'!K69</f>
        <v>5219206</v>
      </c>
      <c r="C1136" s="2" t="s">
        <v>569</v>
      </c>
      <c r="D1136" s="2" t="str">
        <f t="shared" si="16"/>
        <v>Error?</v>
      </c>
    </row>
    <row r="1137" spans="1:4" x14ac:dyDescent="0.2">
      <c r="A1137" s="5">
        <v>1076</v>
      </c>
      <c r="B1137" s="1832">
        <f>'Expenditures 15-22'!K70</f>
        <v>575584</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187398</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9513979</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26547923</v>
      </c>
      <c r="C1143" s="2" t="s">
        <v>569</v>
      </c>
      <c r="D1143" s="2" t="str">
        <f t="shared" si="16"/>
        <v>Error?</v>
      </c>
    </row>
    <row r="1144" spans="1:4" x14ac:dyDescent="0.2">
      <c r="A1144" s="5">
        <v>1083</v>
      </c>
      <c r="B1144" s="1832">
        <f>'Expenditures 15-22'!K75</f>
        <v>2759326</v>
      </c>
      <c r="C1144" s="2" t="s">
        <v>569</v>
      </c>
      <c r="D1144" s="2" t="str">
        <f t="shared" si="16"/>
        <v>Error?</v>
      </c>
    </row>
    <row r="1145" spans="1:4" x14ac:dyDescent="0.2">
      <c r="A1145" s="5">
        <v>1084</v>
      </c>
      <c r="B1145" s="1832">
        <f>'Expenditures 15-22'!K102</f>
        <v>6910940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90977440</v>
      </c>
      <c r="C1152" s="2" t="s">
        <v>569</v>
      </c>
      <c r="D1152" s="2" t="str">
        <f t="shared" si="17"/>
        <v>Error?</v>
      </c>
    </row>
    <row r="1153" spans="1:4" x14ac:dyDescent="0.2">
      <c r="A1153" s="5">
        <v>1092</v>
      </c>
      <c r="B1153" s="1832">
        <f>'Expenditures 15-22'!K115</f>
        <v>-10276951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1233</v>
      </c>
      <c r="D1221" s="2" t="str">
        <f t="shared" si="18"/>
        <v>Error?</v>
      </c>
    </row>
    <row r="1222" spans="1:4" x14ac:dyDescent="0.2">
      <c r="A1222" s="10">
        <v>1161</v>
      </c>
      <c r="B1222" s="1832"/>
      <c r="D1222" s="2" t="str">
        <f t="shared" si="18"/>
        <v>OK</v>
      </c>
    </row>
    <row r="1223" spans="1:4" x14ac:dyDescent="0.2">
      <c r="A1223" s="5">
        <v>1162</v>
      </c>
      <c r="B1223" s="1832">
        <f>'Expenditures 15-22'!C127</f>
        <v>1233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1233</v>
      </c>
      <c r="C1225" s="2" t="s">
        <v>569</v>
      </c>
      <c r="D1225" s="2" t="str">
        <f t="shared" si="18"/>
        <v>Error?</v>
      </c>
    </row>
    <row r="1226" spans="1:4" x14ac:dyDescent="0.2">
      <c r="A1226" s="5">
        <v>1165</v>
      </c>
      <c r="B1226" s="1832">
        <f>'Expenditures 15-22'!C151</f>
        <v>1233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7125095</v>
      </c>
      <c r="D1237" s="2" t="str">
        <f t="shared" si="18"/>
        <v>Error?</v>
      </c>
    </row>
    <row r="1238" spans="1:4" x14ac:dyDescent="0.2">
      <c r="A1238" s="10">
        <v>1177</v>
      </c>
      <c r="B1238" s="1832"/>
      <c r="D1238" s="2" t="str">
        <f t="shared" si="18"/>
        <v>OK</v>
      </c>
    </row>
    <row r="1239" spans="1:4" x14ac:dyDescent="0.2">
      <c r="A1239" s="5">
        <v>1178</v>
      </c>
      <c r="B1239" s="1832">
        <f>'Expenditures 15-22'!E127</f>
        <v>7125095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7125095</v>
      </c>
      <c r="C1241" s="2" t="s">
        <v>569</v>
      </c>
      <c r="D1241" s="2" t="str">
        <f t="shared" si="18"/>
        <v>Error?</v>
      </c>
    </row>
    <row r="1242" spans="1:4" x14ac:dyDescent="0.2">
      <c r="A1242" s="5">
        <v>1181</v>
      </c>
      <c r="B1242" s="1832">
        <f>'Expenditures 15-22'!E151</f>
        <v>7125095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1472311</v>
      </c>
      <c r="D1245" s="2" t="str">
        <f t="shared" si="18"/>
        <v>Error?</v>
      </c>
    </row>
    <row r="1246" spans="1:4" x14ac:dyDescent="0.2">
      <c r="A1246" s="10">
        <v>1185</v>
      </c>
      <c r="B1246" s="1832"/>
      <c r="D1246" s="2" t="str">
        <f t="shared" si="18"/>
        <v>OK</v>
      </c>
    </row>
    <row r="1247" spans="1:4" x14ac:dyDescent="0.2">
      <c r="A1247" s="5">
        <v>1186</v>
      </c>
      <c r="B1247" s="1832">
        <f>'Expenditures 15-22'!F127</f>
        <v>1472311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1472311</v>
      </c>
      <c r="C1249" s="2" t="s">
        <v>569</v>
      </c>
      <c r="D1249" s="2" t="str">
        <f t="shared" si="18"/>
        <v>Error?</v>
      </c>
    </row>
    <row r="1250" spans="1:4" x14ac:dyDescent="0.2">
      <c r="A1250" s="5">
        <v>1189</v>
      </c>
      <c r="B1250" s="1832">
        <f>'Expenditures 15-22'!F151</f>
        <v>1472311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21630176</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21630176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21630176</v>
      </c>
      <c r="C1258" s="2" t="s">
        <v>569</v>
      </c>
      <c r="D1258" s="2" t="str">
        <f t="shared" si="18"/>
        <v>Error?</v>
      </c>
    </row>
    <row r="1259" spans="1:4" x14ac:dyDescent="0.2">
      <c r="A1259" s="5">
        <v>1198</v>
      </c>
      <c r="B1259" s="1832">
        <f>'Expenditures 15-22'!G151</f>
        <v>21630176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31618</v>
      </c>
      <c r="D1262" s="2" t="str">
        <f t="shared" si="18"/>
        <v>Error?</v>
      </c>
    </row>
    <row r="1263" spans="1:4" x14ac:dyDescent="0.2">
      <c r="A1263" s="10">
        <v>1202</v>
      </c>
      <c r="B1263" s="1832"/>
      <c r="D1263" s="2" t="str">
        <f t="shared" si="18"/>
        <v>OK</v>
      </c>
    </row>
    <row r="1264" spans="1:4" x14ac:dyDescent="0.2">
      <c r="A1264" s="5">
        <v>1203</v>
      </c>
      <c r="B1264" s="1832">
        <f>'Expenditures 15-22'!H127</f>
        <v>31618</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31618</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31618</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21630176</v>
      </c>
      <c r="C1275" s="2" t="s">
        <v>569</v>
      </c>
      <c r="D1275" s="2" t="str">
        <f t="shared" si="18"/>
        <v>Error?</v>
      </c>
    </row>
    <row r="1276" spans="1:4" x14ac:dyDescent="0.2">
      <c r="A1276" s="5">
        <v>1215</v>
      </c>
      <c r="B1276" s="1832">
        <f>'Expenditures 15-22'!K124</f>
        <v>8630257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30260433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30260433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30260433</v>
      </c>
      <c r="C1288" s="2" t="s">
        <v>569</v>
      </c>
      <c r="D1288" s="2" t="str">
        <f t="shared" si="19"/>
        <v>Error?</v>
      </c>
    </row>
    <row r="1289" spans="1:4" x14ac:dyDescent="0.2">
      <c r="A1289" s="5">
        <v>1228</v>
      </c>
      <c r="B1289" s="1832">
        <f>'Expenditures 15-22'!K152</f>
        <v>-11853086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1117936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3785549</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4903485</v>
      </c>
      <c r="C1317" s="2" t="s">
        <v>569</v>
      </c>
      <c r="D1317" s="2" t="str">
        <f t="shared" si="19"/>
        <v>Error?</v>
      </c>
    </row>
    <row r="1318" spans="1:4" x14ac:dyDescent="0.2">
      <c r="A1318" s="5">
        <v>1257</v>
      </c>
      <c r="B1318" s="1832">
        <f>'Expenditures 15-22'!H174</f>
        <v>4903485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1117936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3785549</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4903485</v>
      </c>
      <c r="C1331" s="2" t="s">
        <v>569</v>
      </c>
      <c r="D1331" s="2" t="str">
        <f t="shared" si="19"/>
        <v>Error?</v>
      </c>
    </row>
    <row r="1332" spans="1:4" x14ac:dyDescent="0.2">
      <c r="A1332" s="5">
        <v>1271</v>
      </c>
      <c r="B1332" s="1832">
        <f>'Expenditures 15-22'!K174</f>
        <v>4903485</v>
      </c>
      <c r="C1332" s="2" t="s">
        <v>569</v>
      </c>
      <c r="D1332" s="2" t="str">
        <f t="shared" si="19"/>
        <v>Error?</v>
      </c>
    </row>
    <row r="1333" spans="1:4" x14ac:dyDescent="0.2">
      <c r="A1333" s="5">
        <v>1272</v>
      </c>
      <c r="B1333" s="1832">
        <f>'Expenditures 15-22'!K175</f>
        <v>-334485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195355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195355</v>
      </c>
      <c r="C1339" s="2" t="s">
        <v>569</v>
      </c>
      <c r="D1339" s="2" t="str">
        <f t="shared" si="19"/>
        <v>Error?</v>
      </c>
    </row>
    <row r="1340" spans="1:4" x14ac:dyDescent="0.2">
      <c r="A1340" s="5">
        <v>1279</v>
      </c>
      <c r="B1340" s="1832">
        <f>'Expenditures 15-22'!C210</f>
        <v>195355</v>
      </c>
      <c r="C1340" s="2" t="s">
        <v>569</v>
      </c>
      <c r="D1340" s="2" t="str">
        <f t="shared" si="19"/>
        <v>Error?</v>
      </c>
    </row>
    <row r="1341" spans="1:4" x14ac:dyDescent="0.2">
      <c r="A1341" s="5">
        <v>1280</v>
      </c>
      <c r="B1341" s="1832">
        <f>'Expenditures 15-22'!D182</f>
        <v>31891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31891</v>
      </c>
      <c r="C1345" s="2" t="s">
        <v>569</v>
      </c>
      <c r="D1345" s="2" t="str">
        <f t="shared" si="20"/>
        <v>Error?</v>
      </c>
    </row>
    <row r="1346" spans="1:4" x14ac:dyDescent="0.2">
      <c r="A1346" s="5">
        <v>1285</v>
      </c>
      <c r="B1346" s="1832">
        <f>'Expenditures 15-22'!D210</f>
        <v>31891</v>
      </c>
      <c r="C1346" s="2" t="s">
        <v>569</v>
      </c>
      <c r="D1346" s="2" t="str">
        <f t="shared" si="20"/>
        <v>Error?</v>
      </c>
    </row>
    <row r="1347" spans="1:4" x14ac:dyDescent="0.2">
      <c r="A1347" s="5">
        <v>1286</v>
      </c>
      <c r="B1347" s="1832">
        <f>'Expenditures 15-22'!E182</f>
        <v>4608269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4608269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4608269</v>
      </c>
      <c r="C1353" s="2" t="s">
        <v>569</v>
      </c>
      <c r="D1353" s="2" t="str">
        <f t="shared" si="20"/>
        <v>Error?</v>
      </c>
    </row>
    <row r="1354" spans="1:4" x14ac:dyDescent="0.2">
      <c r="A1354" s="5">
        <v>1293</v>
      </c>
      <c r="B1354" s="1832">
        <f>'Expenditures 15-22'!F182</f>
        <v>119285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119285</v>
      </c>
      <c r="C1358" s="2" t="s">
        <v>569</v>
      </c>
      <c r="D1358" s="2" t="str">
        <f t="shared" si="20"/>
        <v>Error?</v>
      </c>
    </row>
    <row r="1359" spans="1:4" x14ac:dyDescent="0.2">
      <c r="A1359" s="5">
        <v>1298</v>
      </c>
      <c r="B1359" s="1832">
        <f>'Expenditures 15-22'!F210</f>
        <v>119285</v>
      </c>
      <c r="C1359" s="2" t="s">
        <v>569</v>
      </c>
      <c r="D1359" s="2" t="str">
        <f t="shared" si="20"/>
        <v>Error?</v>
      </c>
    </row>
    <row r="1360" spans="1:4" x14ac:dyDescent="0.2">
      <c r="A1360" s="5">
        <v>1299</v>
      </c>
      <c r="B1360" s="1832">
        <f>'Expenditures 15-22'!G182</f>
        <v>68878</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68878</v>
      </c>
      <c r="C1364" s="2" t="s">
        <v>569</v>
      </c>
      <c r="D1364" s="2" t="str">
        <f t="shared" si="20"/>
        <v>Error?</v>
      </c>
    </row>
    <row r="1365" spans="1:4" x14ac:dyDescent="0.2">
      <c r="A1365" s="5">
        <v>1304</v>
      </c>
      <c r="B1365" s="1832">
        <f>'Expenditures 15-22'!G210</f>
        <v>68878</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5023678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5023678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5023678</v>
      </c>
      <c r="C1388" s="2" t="s">
        <v>569</v>
      </c>
      <c r="D1388" s="2" t="str">
        <f t="shared" si="20"/>
        <v>Error?</v>
      </c>
    </row>
    <row r="1389" spans="1:4" x14ac:dyDescent="0.2">
      <c r="A1389" s="5">
        <v>1328</v>
      </c>
      <c r="B1389" s="1832">
        <f>'Expenditures 15-22'!K211</f>
        <v>1508756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20574</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11240</v>
      </c>
      <c r="D1407" s="2" t="str">
        <f t="shared" ref="D1407:D1470" si="21">IF(ISBLANK(B1407),"OK",IF(A1407-B1407=0,"OK","Error?"))</f>
        <v>Error?</v>
      </c>
    </row>
    <row r="1408" spans="1:4" x14ac:dyDescent="0.2">
      <c r="A1408" s="5">
        <v>1347</v>
      </c>
      <c r="B1408" s="1832">
        <f>'Expenditures 15-22'!D223</f>
        <v>271323</v>
      </c>
      <c r="D1408" s="2" t="str">
        <f t="shared" si="21"/>
        <v>Error?</v>
      </c>
    </row>
    <row r="1409" spans="1:4" x14ac:dyDescent="0.2">
      <c r="A1409" s="5">
        <v>1348</v>
      </c>
      <c r="B1409" s="1832">
        <f>'Expenditures 15-22'!D224</f>
        <v>20280</v>
      </c>
      <c r="D1409" s="2" t="str">
        <f t="shared" si="21"/>
        <v>Error?</v>
      </c>
    </row>
    <row r="1410" spans="1:4" x14ac:dyDescent="0.2">
      <c r="A1410" s="5">
        <v>1349</v>
      </c>
      <c r="B1410" s="1832">
        <f>'Expenditures 15-22'!D229</f>
        <v>1307987</v>
      </c>
      <c r="C1410" s="2" t="s">
        <v>569</v>
      </c>
      <c r="D1410" s="2" t="str">
        <f t="shared" si="21"/>
        <v>Error?</v>
      </c>
    </row>
    <row r="1411" spans="1:4" x14ac:dyDescent="0.2">
      <c r="A1411" s="5">
        <v>1350</v>
      </c>
      <c r="B1411" s="1832">
        <f>'Expenditures 15-22'!D232</f>
        <v>334083</v>
      </c>
      <c r="D1411" s="2" t="str">
        <f t="shared" si="21"/>
        <v>Error?</v>
      </c>
    </row>
    <row r="1412" spans="1:4" x14ac:dyDescent="0.2">
      <c r="A1412" s="5">
        <v>1351</v>
      </c>
      <c r="B1412" s="1832">
        <f>'Expenditures 15-22'!D233</f>
        <v>140320</v>
      </c>
      <c r="D1412" s="2" t="str">
        <f t="shared" si="21"/>
        <v>Error?</v>
      </c>
    </row>
    <row r="1413" spans="1:4" x14ac:dyDescent="0.2">
      <c r="A1413" s="5">
        <v>1352</v>
      </c>
      <c r="B1413" s="1832">
        <f>'Expenditures 15-22'!D234</f>
        <v>62716</v>
      </c>
      <c r="D1413" s="2" t="str">
        <f t="shared" si="21"/>
        <v>Error?</v>
      </c>
    </row>
    <row r="1414" spans="1:4" x14ac:dyDescent="0.2">
      <c r="A1414" s="5">
        <v>1353</v>
      </c>
      <c r="B1414" s="1832">
        <f>'Expenditures 15-22'!D235</f>
        <v>17980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555099</v>
      </c>
      <c r="C1417" s="2" t="s">
        <v>569</v>
      </c>
      <c r="D1417" s="2" t="str">
        <f t="shared" si="21"/>
        <v>Error?</v>
      </c>
    </row>
    <row r="1418" spans="1:4" x14ac:dyDescent="0.2">
      <c r="A1418" s="5">
        <v>1357</v>
      </c>
      <c r="B1418" s="1832">
        <f>'Expenditures 15-22'!D240</f>
        <v>22570</v>
      </c>
      <c r="D1418" s="2" t="str">
        <f t="shared" si="21"/>
        <v>Error?</v>
      </c>
    </row>
    <row r="1419" spans="1:4" x14ac:dyDescent="0.2">
      <c r="A1419" s="5">
        <v>1358</v>
      </c>
      <c r="B1419" s="1832">
        <f>'Expenditures 15-22'!D241</f>
        <v>82185</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104755</v>
      </c>
      <c r="C1421" s="2" t="s">
        <v>569</v>
      </c>
      <c r="D1421" s="2" t="str">
        <f t="shared" si="21"/>
        <v>Error?</v>
      </c>
    </row>
    <row r="1422" spans="1:4" x14ac:dyDescent="0.2">
      <c r="A1422" s="5">
        <v>1361</v>
      </c>
      <c r="B1422" s="1832">
        <f>'Expenditures 15-22'!D245</f>
        <v>3252</v>
      </c>
      <c r="D1422" s="2" t="str">
        <f t="shared" si="21"/>
        <v>Error?</v>
      </c>
    </row>
    <row r="1423" spans="1:4" x14ac:dyDescent="0.2">
      <c r="A1423" s="5">
        <v>1362</v>
      </c>
      <c r="B1423" s="1832">
        <f>'Expenditures 15-22'!D246</f>
        <v>23829</v>
      </c>
      <c r="D1423" s="2" t="str">
        <f t="shared" si="21"/>
        <v>Error?</v>
      </c>
    </row>
    <row r="1424" spans="1:4" x14ac:dyDescent="0.2">
      <c r="A1424" s="5">
        <v>1363</v>
      </c>
      <c r="B1424" s="1832">
        <f>'Expenditures 15-22'!D257</f>
        <v>27081</v>
      </c>
      <c r="C1424" s="2" t="s">
        <v>569</v>
      </c>
      <c r="D1424" s="2" t="str">
        <f t="shared" si="21"/>
        <v>Error?</v>
      </c>
    </row>
    <row r="1425" spans="1:4" x14ac:dyDescent="0.2">
      <c r="A1425" s="5">
        <v>1364</v>
      </c>
      <c r="B1425" s="1832">
        <f>'Expenditures 15-22'!D259</f>
        <v>30178</v>
      </c>
      <c r="D1425" s="2" t="str">
        <f t="shared" si="21"/>
        <v>Error?</v>
      </c>
    </row>
    <row r="1426" spans="1:4" x14ac:dyDescent="0.2">
      <c r="A1426" s="5">
        <v>1365</v>
      </c>
      <c r="B1426" s="1832">
        <f>'Expenditures 15-22'!D260</f>
        <v>54200</v>
      </c>
      <c r="D1426" s="2" t="str">
        <f t="shared" si="21"/>
        <v>Error?</v>
      </c>
    </row>
    <row r="1427" spans="1:4" x14ac:dyDescent="0.2">
      <c r="A1427" s="5">
        <v>1366</v>
      </c>
      <c r="B1427" s="1832">
        <f>'Expenditures 15-22'!D261</f>
        <v>84378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133262</v>
      </c>
      <c r="D1429" s="2" t="str">
        <f t="shared" si="21"/>
        <v>Error?</v>
      </c>
    </row>
    <row r="1430" spans="1:4" x14ac:dyDescent="0.2">
      <c r="A1430" s="5">
        <v>1369</v>
      </c>
      <c r="B1430" s="1832">
        <f>'Expenditures 15-22'!D265</f>
        <v>8339</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16572</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158173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351916</v>
      </c>
      <c r="D1438" s="2" t="str">
        <f t="shared" si="21"/>
        <v>Error?</v>
      </c>
    </row>
    <row r="1439" spans="1:4" x14ac:dyDescent="0.2">
      <c r="A1439" s="5">
        <v>1378</v>
      </c>
      <c r="B1439" s="1832">
        <f>'Expenditures 15-22'!D274</f>
        <v>220838</v>
      </c>
      <c r="D1439" s="2" t="str">
        <f t="shared" si="21"/>
        <v>Error?</v>
      </c>
    </row>
    <row r="1440" spans="1:4" x14ac:dyDescent="0.2">
      <c r="A1440" s="5">
        <v>1379</v>
      </c>
      <c r="B1440" s="1832">
        <f>'Expenditures 15-22'!D275</f>
        <v>51407</v>
      </c>
      <c r="D1440" s="2" t="str">
        <f t="shared" si="21"/>
        <v>Error?</v>
      </c>
    </row>
    <row r="1441" spans="1:4" x14ac:dyDescent="0.2">
      <c r="A1441" s="10">
        <v>1380</v>
      </c>
      <c r="B1441" s="1832"/>
      <c r="D1441" s="2" t="str">
        <f t="shared" si="21"/>
        <v>OK</v>
      </c>
    </row>
    <row r="1442" spans="1:4" x14ac:dyDescent="0.2">
      <c r="A1442" s="5">
        <v>1381</v>
      </c>
      <c r="B1442" s="1832">
        <f>'Expenditures 15-22'!D276</f>
        <v>28534</v>
      </c>
      <c r="D1442" s="2" t="str">
        <f t="shared" si="21"/>
        <v>Error?</v>
      </c>
    </row>
    <row r="1443" spans="1:4" x14ac:dyDescent="0.2">
      <c r="A1443" s="10">
        <v>1382</v>
      </c>
      <c r="B1443" s="1832"/>
      <c r="D1443" s="2" t="str">
        <f t="shared" si="21"/>
        <v>OK</v>
      </c>
    </row>
    <row r="1444" spans="1:4" x14ac:dyDescent="0.2">
      <c r="A1444" s="5">
        <v>1383</v>
      </c>
      <c r="B1444" s="1832">
        <f>'Expenditures 15-22'!D277</f>
        <v>652695</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1582181</v>
      </c>
      <c r="C1446" s="2" t="s">
        <v>569</v>
      </c>
      <c r="D1446" s="2" t="str">
        <f t="shared" si="21"/>
        <v>Error?</v>
      </c>
    </row>
    <row r="1447" spans="1:4" x14ac:dyDescent="0.2">
      <c r="A1447" s="5">
        <v>1386</v>
      </c>
      <c r="B1447" s="1832">
        <f>'Expenditures 15-22'!D280</f>
        <v>391676</v>
      </c>
      <c r="D1447" s="2" t="str">
        <f t="shared" si="21"/>
        <v>Error?</v>
      </c>
    </row>
    <row r="1448" spans="1:4" x14ac:dyDescent="0.2">
      <c r="A1448" s="5">
        <v>1387</v>
      </c>
      <c r="B1448" s="1832">
        <f>'Expenditures 15-22'!D295</f>
        <v>3311865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20574</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11240</v>
      </c>
      <c r="C1471" s="2" t="s">
        <v>569</v>
      </c>
      <c r="D1471" s="2" t="str">
        <f t="shared" ref="D1471:D1534" si="22">IF(ISBLANK(B1471),"OK",IF(A1471-B1471=0,"OK","Error?"))</f>
        <v>Error?</v>
      </c>
    </row>
    <row r="1472" spans="1:4" x14ac:dyDescent="0.2">
      <c r="A1472" s="5">
        <v>1411</v>
      </c>
      <c r="B1472" s="1832">
        <f>'Expenditures 15-22'!K223</f>
        <v>271323</v>
      </c>
      <c r="C1472" s="2" t="s">
        <v>569</v>
      </c>
      <c r="D1472" s="2" t="str">
        <f t="shared" si="22"/>
        <v>Error?</v>
      </c>
    </row>
    <row r="1473" spans="1:4" x14ac:dyDescent="0.2">
      <c r="A1473" s="5">
        <v>1412</v>
      </c>
      <c r="B1473" s="1832">
        <f>'Expenditures 15-22'!K224</f>
        <v>20280</v>
      </c>
      <c r="C1473" s="2" t="s">
        <v>569</v>
      </c>
      <c r="D1473" s="2" t="str">
        <f t="shared" si="22"/>
        <v>Error?</v>
      </c>
    </row>
    <row r="1474" spans="1:4" x14ac:dyDescent="0.2">
      <c r="A1474" s="5">
        <v>1413</v>
      </c>
      <c r="B1474" s="1832">
        <f>'Expenditures 15-22'!K229</f>
        <v>1307987</v>
      </c>
      <c r="C1474" s="2" t="s">
        <v>569</v>
      </c>
      <c r="D1474" s="2" t="str">
        <f t="shared" si="22"/>
        <v>Error?</v>
      </c>
    </row>
    <row r="1475" spans="1:4" x14ac:dyDescent="0.2">
      <c r="A1475" s="5">
        <v>1414</v>
      </c>
      <c r="B1475" s="1832">
        <f>'Expenditures 15-22'!K232</f>
        <v>334083</v>
      </c>
      <c r="C1475" s="2" t="s">
        <v>569</v>
      </c>
      <c r="D1475" s="2" t="str">
        <f t="shared" si="22"/>
        <v>Error?</v>
      </c>
    </row>
    <row r="1476" spans="1:4" x14ac:dyDescent="0.2">
      <c r="A1476" s="5">
        <v>1415</v>
      </c>
      <c r="B1476" s="1832">
        <f>'Expenditures 15-22'!K233</f>
        <v>140320</v>
      </c>
      <c r="C1476" s="2" t="s">
        <v>569</v>
      </c>
      <c r="D1476" s="2" t="str">
        <f t="shared" si="22"/>
        <v>Error?</v>
      </c>
    </row>
    <row r="1477" spans="1:4" x14ac:dyDescent="0.2">
      <c r="A1477" s="5">
        <v>1416</v>
      </c>
      <c r="B1477" s="1832">
        <f>'Expenditures 15-22'!K234</f>
        <v>62716</v>
      </c>
      <c r="C1477" s="2" t="s">
        <v>569</v>
      </c>
      <c r="D1477" s="2" t="str">
        <f t="shared" si="22"/>
        <v>Error?</v>
      </c>
    </row>
    <row r="1478" spans="1:4" x14ac:dyDescent="0.2">
      <c r="A1478" s="5">
        <v>1417</v>
      </c>
      <c r="B1478" s="1832">
        <f>'Expenditures 15-22'!K235</f>
        <v>17980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555099</v>
      </c>
      <c r="C1481" s="2" t="s">
        <v>569</v>
      </c>
      <c r="D1481" s="2" t="str">
        <f t="shared" si="22"/>
        <v>Error?</v>
      </c>
    </row>
    <row r="1482" spans="1:4" x14ac:dyDescent="0.2">
      <c r="A1482" s="5">
        <v>1421</v>
      </c>
      <c r="B1482" s="1832">
        <f>'Expenditures 15-22'!K240</f>
        <v>22570</v>
      </c>
      <c r="C1482" s="2" t="s">
        <v>569</v>
      </c>
      <c r="D1482" s="2" t="str">
        <f t="shared" si="22"/>
        <v>Error?</v>
      </c>
    </row>
    <row r="1483" spans="1:4" x14ac:dyDescent="0.2">
      <c r="A1483" s="5">
        <v>1422</v>
      </c>
      <c r="B1483" s="1832">
        <f>'Expenditures 15-22'!K241</f>
        <v>82185</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104755</v>
      </c>
      <c r="C1485" s="2" t="s">
        <v>569</v>
      </c>
      <c r="D1485" s="2" t="str">
        <f t="shared" si="22"/>
        <v>Error?</v>
      </c>
    </row>
    <row r="1486" spans="1:4" x14ac:dyDescent="0.2">
      <c r="A1486" s="5">
        <v>1425</v>
      </c>
      <c r="B1486" s="1832">
        <f>'Expenditures 15-22'!K245</f>
        <v>3252</v>
      </c>
      <c r="C1486" s="2" t="s">
        <v>569</v>
      </c>
      <c r="D1486" s="2" t="str">
        <f t="shared" si="22"/>
        <v>Error?</v>
      </c>
    </row>
    <row r="1487" spans="1:4" x14ac:dyDescent="0.2">
      <c r="A1487" s="5">
        <v>1426</v>
      </c>
      <c r="B1487" s="1832">
        <f>'Expenditures 15-22'!K246</f>
        <v>23829</v>
      </c>
      <c r="C1487" s="2" t="s">
        <v>569</v>
      </c>
      <c r="D1487" s="2" t="str">
        <f t="shared" si="22"/>
        <v>Error?</v>
      </c>
    </row>
    <row r="1488" spans="1:4" x14ac:dyDescent="0.2">
      <c r="A1488" s="5">
        <v>1427</v>
      </c>
      <c r="B1488" s="1832">
        <f>'Expenditures 15-22'!K257</f>
        <v>27081</v>
      </c>
      <c r="C1488" s="2" t="s">
        <v>569</v>
      </c>
      <c r="D1488" s="2" t="str">
        <f t="shared" si="22"/>
        <v>Error?</v>
      </c>
    </row>
    <row r="1489" spans="1:4" x14ac:dyDescent="0.2">
      <c r="A1489" s="5">
        <v>1428</v>
      </c>
      <c r="B1489" s="1832">
        <f>'Expenditures 15-22'!K259</f>
        <v>30178</v>
      </c>
      <c r="C1489" s="2" t="s">
        <v>569</v>
      </c>
      <c r="D1489" s="2" t="str">
        <f t="shared" si="22"/>
        <v>Error?</v>
      </c>
    </row>
    <row r="1490" spans="1:4" x14ac:dyDescent="0.2">
      <c r="A1490" s="5">
        <v>1429</v>
      </c>
      <c r="B1490" s="1832">
        <f>'Expenditures 15-22'!K260</f>
        <v>54200</v>
      </c>
      <c r="C1490" s="2" t="s">
        <v>569</v>
      </c>
      <c r="D1490" s="2" t="str">
        <f t="shared" si="22"/>
        <v>Error?</v>
      </c>
    </row>
    <row r="1491" spans="1:4" x14ac:dyDescent="0.2">
      <c r="A1491" s="5">
        <v>1430</v>
      </c>
      <c r="B1491" s="1832">
        <f>'Expenditures 15-22'!K261</f>
        <v>84378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133262</v>
      </c>
      <c r="C1493" s="2" t="s">
        <v>569</v>
      </c>
      <c r="D1493" s="2" t="str">
        <f t="shared" si="22"/>
        <v>Error?</v>
      </c>
    </row>
    <row r="1494" spans="1:4" x14ac:dyDescent="0.2">
      <c r="A1494" s="5">
        <v>1433</v>
      </c>
      <c r="B1494" s="1832">
        <f>'Expenditures 15-22'!K265</f>
        <v>8339</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16572</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158173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351916</v>
      </c>
      <c r="C1502" s="2" t="s">
        <v>569</v>
      </c>
      <c r="D1502" s="2" t="str">
        <f t="shared" si="22"/>
        <v>Error?</v>
      </c>
    </row>
    <row r="1503" spans="1:4" x14ac:dyDescent="0.2">
      <c r="A1503" s="5">
        <v>1442</v>
      </c>
      <c r="B1503" s="1832">
        <f>'Expenditures 15-22'!K274</f>
        <v>220838</v>
      </c>
      <c r="C1503" s="2" t="s">
        <v>569</v>
      </c>
      <c r="D1503" s="2" t="str">
        <f t="shared" si="22"/>
        <v>Error?</v>
      </c>
    </row>
    <row r="1504" spans="1:4" x14ac:dyDescent="0.2">
      <c r="A1504" s="5">
        <v>1443</v>
      </c>
      <c r="B1504" s="1832">
        <f>'Expenditures 15-22'!K275</f>
        <v>51407</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28534</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652695</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1582181</v>
      </c>
      <c r="C1510" s="2" t="s">
        <v>569</v>
      </c>
      <c r="D1510" s="2" t="str">
        <f t="shared" si="22"/>
        <v>Error?</v>
      </c>
    </row>
    <row r="1511" spans="1:4" x14ac:dyDescent="0.2">
      <c r="A1511" s="5">
        <v>1450</v>
      </c>
      <c r="B1511" s="1832">
        <f>'Expenditures 15-22'!K280</f>
        <v>391676</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3311865</v>
      </c>
      <c r="C1517" s="2" t="s">
        <v>569</v>
      </c>
      <c r="D1517" s="2" t="str">
        <f t="shared" si="22"/>
        <v>Error?</v>
      </c>
    </row>
    <row r="1518" spans="1:4" x14ac:dyDescent="0.2">
      <c r="A1518" s="5">
        <v>1457</v>
      </c>
      <c r="B1518" s="1832">
        <f>'Expenditures 15-22'!K296</f>
        <v>-350707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101168208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89624386</v>
      </c>
      <c r="C1630" s="2" t="s">
        <v>569</v>
      </c>
      <c r="D1630" s="2" t="str">
        <f t="shared" si="24"/>
        <v>Error?</v>
      </c>
    </row>
    <row r="1631" spans="1:4" x14ac:dyDescent="0.2">
      <c r="A1631" s="5">
        <v>1570</v>
      </c>
      <c r="B1631" s="1832">
        <f>'Acct Summary 7-8'!D79</f>
        <v>22039408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11574748</v>
      </c>
      <c r="C1644" s="2" t="s">
        <v>569</v>
      </c>
      <c r="D1644" s="2" t="str">
        <f t="shared" si="24"/>
        <v>Error?</v>
      </c>
    </row>
    <row r="1645" spans="1:4" x14ac:dyDescent="0.2">
      <c r="A1645" s="5">
        <v>1584</v>
      </c>
      <c r="B1645" s="1832">
        <f>'Acct Summary 7-8'!E79</f>
        <v>3795997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3533568</v>
      </c>
      <c r="C1658" s="2" t="s">
        <v>569</v>
      </c>
      <c r="D1658" s="2" t="str">
        <f t="shared" si="24"/>
        <v>Error?</v>
      </c>
    </row>
    <row r="1659" spans="1:4" x14ac:dyDescent="0.2">
      <c r="A1659" s="5">
        <v>1598</v>
      </c>
      <c r="B1659" s="1832">
        <f>'Acct Summary 7-8'!F79</f>
        <v>4186918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5642780</v>
      </c>
      <c r="C1672" s="2" t="s">
        <v>569</v>
      </c>
      <c r="D1672" s="2" t="str">
        <f t="shared" si="25"/>
        <v>Error?</v>
      </c>
    </row>
    <row r="1673" spans="1:4" x14ac:dyDescent="0.2">
      <c r="A1673" s="5">
        <v>1612</v>
      </c>
      <c r="B1673" s="1832">
        <f>'Acct Summary 7-8'!G79</f>
        <v>4571444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4220737</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60906391</v>
      </c>
      <c r="C1744" s="2" t="s">
        <v>569</v>
      </c>
      <c r="D1744" s="2" t="str">
        <f t="shared" si="26"/>
        <v>Error?</v>
      </c>
    </row>
    <row r="1745" spans="1:5" x14ac:dyDescent="0.2">
      <c r="A1745" s="5">
        <v>1684</v>
      </c>
      <c r="B1745" s="1832">
        <f>'Tax Sched 23'!B5</f>
        <v>17851102</v>
      </c>
      <c r="C1745" s="2" t="s">
        <v>569</v>
      </c>
      <c r="D1745" s="2" t="str">
        <f t="shared" si="26"/>
        <v>Error?</v>
      </c>
    </row>
    <row r="1746" spans="1:5" x14ac:dyDescent="0.2">
      <c r="A1746" s="5">
        <v>1685</v>
      </c>
      <c r="B1746" s="1832">
        <f>'Tax Sched 23'!B6</f>
        <v>4528552</v>
      </c>
      <c r="C1746" s="2" t="s">
        <v>569</v>
      </c>
      <c r="D1746" s="2" t="str">
        <f t="shared" si="26"/>
        <v>Error?</v>
      </c>
    </row>
    <row r="1747" spans="1:5" x14ac:dyDescent="0.2">
      <c r="A1747" s="5">
        <v>1686</v>
      </c>
      <c r="B1747" s="1832">
        <f>'Tax Sched 23'!B7</f>
        <v>4823462</v>
      </c>
      <c r="C1747" s="2" t="s">
        <v>569</v>
      </c>
      <c r="D1747" s="2" t="str">
        <f t="shared" si="26"/>
        <v>Error?</v>
      </c>
    </row>
    <row r="1748" spans="1:5" x14ac:dyDescent="0.2">
      <c r="A1748" s="5">
        <v>1687</v>
      </c>
      <c r="B1748" s="1832">
        <f>'Tax Sched 23'!B8</f>
        <v>1601558</v>
      </c>
      <c r="C1748" s="2" t="s">
        <v>569</v>
      </c>
      <c r="D1748" s="2" t="str">
        <f t="shared" si="26"/>
        <v>Error?</v>
      </c>
    </row>
    <row r="1749" spans="1:5" x14ac:dyDescent="0.2">
      <c r="A1749" s="5">
        <v>1688</v>
      </c>
      <c r="B1749" s="1832">
        <f>'Tax Sched 23'!B10</f>
        <v>463757</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14201</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6204979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97542419</v>
      </c>
      <c r="C1759" s="2" t="s">
        <v>569</v>
      </c>
      <c r="D1759" s="2" t="str">
        <f t="shared" si="26"/>
        <v>Error?</v>
      </c>
    </row>
    <row r="1760" spans="1:5" x14ac:dyDescent="0.2">
      <c r="A1760" s="5">
        <v>1699</v>
      </c>
      <c r="B1760" s="1832">
        <f>'Tax Sched 23'!D4</f>
        <v>33476120</v>
      </c>
      <c r="C1760" s="2" t="s">
        <v>569</v>
      </c>
      <c r="D1760" s="2" t="str">
        <f t="shared" si="26"/>
        <v>Error?</v>
      </c>
    </row>
    <row r="1761" spans="1:7" x14ac:dyDescent="0.2">
      <c r="A1761" s="5">
        <v>1700</v>
      </c>
      <c r="B1761" s="1832">
        <f>'Tax Sched 23'!D5</f>
        <v>9553990</v>
      </c>
      <c r="C1761" s="2" t="s">
        <v>569</v>
      </c>
      <c r="D1761" s="2" t="str">
        <f t="shared" si="26"/>
        <v>Error?</v>
      </c>
    </row>
    <row r="1762" spans="1:7" s="8" customFormat="1" x14ac:dyDescent="0.2">
      <c r="A1762" s="5">
        <v>1701</v>
      </c>
      <c r="B1762" s="1832">
        <f>'Tax Sched 23'!D6</f>
        <v>2478730</v>
      </c>
      <c r="C1762" s="2" t="s">
        <v>569</v>
      </c>
      <c r="D1762" s="2" t="str">
        <f t="shared" si="26"/>
        <v>Error?</v>
      </c>
      <c r="E1762" s="9"/>
      <c r="G1762"/>
    </row>
    <row r="1763" spans="1:7" x14ac:dyDescent="0.2">
      <c r="A1763" s="5">
        <v>1702</v>
      </c>
      <c r="B1763" s="1832">
        <f>'Tax Sched 23'!D7</f>
        <v>2542423</v>
      </c>
      <c r="C1763" s="2" t="s">
        <v>569</v>
      </c>
      <c r="D1763" s="2" t="str">
        <f t="shared" si="26"/>
        <v>Error?</v>
      </c>
    </row>
    <row r="1764" spans="1:7" x14ac:dyDescent="0.2">
      <c r="A1764" s="5">
        <v>1703</v>
      </c>
      <c r="B1764" s="1832">
        <f>'Tax Sched 23'!D8</f>
        <v>854551</v>
      </c>
      <c r="C1764" s="2" t="s">
        <v>569</v>
      </c>
      <c r="D1764" s="2" t="str">
        <f t="shared" si="26"/>
        <v>Error?</v>
      </c>
    </row>
    <row r="1765" spans="1:7" x14ac:dyDescent="0.2">
      <c r="A1765" s="5">
        <v>1704</v>
      </c>
      <c r="B1765" s="1832">
        <f>'Tax Sched 23'!D10</f>
        <v>254773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5308</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3301434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53077722</v>
      </c>
      <c r="C1775" s="2" t="s">
        <v>569</v>
      </c>
      <c r="D1775" s="2" t="str">
        <f t="shared" si="26"/>
        <v>Error?</v>
      </c>
    </row>
    <row r="1776" spans="1:7" x14ac:dyDescent="0.2">
      <c r="A1776" s="5">
        <v>1715</v>
      </c>
      <c r="B1776" s="1832">
        <f>'Tax Sched 23'!C4</f>
        <v>27430271</v>
      </c>
      <c r="D1776" s="2" t="str">
        <f t="shared" si="26"/>
        <v>Error?</v>
      </c>
    </row>
    <row r="1777" spans="1:4" x14ac:dyDescent="0.2">
      <c r="A1777" s="5">
        <v>1716</v>
      </c>
      <c r="B1777" s="1832">
        <f>'Tax Sched 23'!C5</f>
        <v>8297112</v>
      </c>
      <c r="D1777" s="2" t="str">
        <f t="shared" si="26"/>
        <v>Error?</v>
      </c>
    </row>
    <row r="1778" spans="1:4" x14ac:dyDescent="0.2">
      <c r="A1778" s="5">
        <v>1717</v>
      </c>
      <c r="B1778" s="1832">
        <f>'Tax Sched 23'!C6</f>
        <v>2049822</v>
      </c>
      <c r="D1778" s="2" t="str">
        <f t="shared" si="26"/>
        <v>Error?</v>
      </c>
    </row>
    <row r="1779" spans="1:4" x14ac:dyDescent="0.2">
      <c r="A1779" s="5">
        <v>1718</v>
      </c>
      <c r="B1779" s="1832">
        <f>'Tax Sched 23'!C7</f>
        <v>2281039</v>
      </c>
      <c r="D1779" s="2" t="str">
        <f t="shared" si="26"/>
        <v>Error?</v>
      </c>
    </row>
    <row r="1780" spans="1:4" x14ac:dyDescent="0.2">
      <c r="A1780" s="5">
        <v>1719</v>
      </c>
      <c r="B1780" s="1832">
        <f>'Tax Sched 23'!C8</f>
        <v>747007</v>
      </c>
      <c r="D1780" s="2" t="str">
        <f t="shared" si="26"/>
        <v>Error?</v>
      </c>
    </row>
    <row r="1781" spans="1:4" x14ac:dyDescent="0.2">
      <c r="A1781" s="5">
        <v>1720</v>
      </c>
      <c r="B1781" s="1832">
        <f>'Tax Sched 23'!C10</f>
        <v>208984</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8893</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2903545</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44464697</v>
      </c>
      <c r="C1791" s="2" t="s">
        <v>569</v>
      </c>
      <c r="D1791" s="2" t="str">
        <f t="shared" ref="D1791:D1854" si="27">IF(ISBLANK(B1791),"OK",IF(A1791-B1791=0,"OK","Error?"))</f>
        <v>Error?</v>
      </c>
    </row>
    <row r="1792" spans="1:4" x14ac:dyDescent="0.2">
      <c r="A1792" s="5">
        <v>1731</v>
      </c>
      <c r="B1792" s="1832">
        <f>'Tax Sched 23'!F4</f>
        <v>38699349</v>
      </c>
      <c r="C1792" s="2" t="s">
        <v>569</v>
      </c>
      <c r="D1792" s="2" t="str">
        <f t="shared" si="27"/>
        <v>Error?</v>
      </c>
    </row>
    <row r="1793" spans="1:4" x14ac:dyDescent="0.2">
      <c r="A1793" s="5">
        <v>1732</v>
      </c>
      <c r="B1793" s="1832">
        <f>'Tax Sched 23'!F5</f>
        <v>11702897</v>
      </c>
      <c r="C1793" s="2" t="s">
        <v>569</v>
      </c>
      <c r="D1793" s="2" t="str">
        <f t="shared" si="27"/>
        <v>Error?</v>
      </c>
    </row>
    <row r="1794" spans="1:4" x14ac:dyDescent="0.2">
      <c r="A1794" s="5">
        <v>1733</v>
      </c>
      <c r="B1794" s="1832">
        <f>'Tax Sched 23'!F6</f>
        <v>2897336</v>
      </c>
      <c r="C1794" s="2" t="s">
        <v>569</v>
      </c>
      <c r="D1794" s="2" t="str">
        <f t="shared" si="27"/>
        <v>Error?</v>
      </c>
    </row>
    <row r="1795" spans="1:4" x14ac:dyDescent="0.2">
      <c r="A1795" s="5">
        <v>1734</v>
      </c>
      <c r="B1795" s="1832">
        <f>'Tax Sched 23'!F7</f>
        <v>3218977</v>
      </c>
      <c r="C1795" s="2" t="s">
        <v>569</v>
      </c>
      <c r="D1795" s="2" t="str">
        <f t="shared" si="27"/>
        <v>Error?</v>
      </c>
    </row>
    <row r="1796" spans="1:4" x14ac:dyDescent="0.2">
      <c r="A1796" s="5">
        <v>1735</v>
      </c>
      <c r="B1796" s="1832">
        <f>'Tax Sched 23'!F8</f>
        <v>1053018</v>
      </c>
      <c r="C1796" s="2" t="s">
        <v>569</v>
      </c>
      <c r="D1796" s="2" t="str">
        <f t="shared" si="27"/>
        <v>Error?</v>
      </c>
    </row>
    <row r="1797" spans="1:4" x14ac:dyDescent="0.2">
      <c r="A1797" s="5">
        <v>1736</v>
      </c>
      <c r="B1797" s="1832">
        <f>'Tax Sched 23'!F10</f>
        <v>291048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16120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4096492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62737244</v>
      </c>
      <c r="C1807" s="2" t="s">
        <v>569</v>
      </c>
      <c r="D1807" s="2" t="str">
        <f t="shared" si="27"/>
        <v>Error?</v>
      </c>
    </row>
    <row r="1808" spans="1:4" x14ac:dyDescent="0.2">
      <c r="A1808" s="5">
        <v>1747</v>
      </c>
      <c r="B1808" s="1832">
        <f>'Tax Sched 23'!E4</f>
        <v>66129620</v>
      </c>
      <c r="D1808" s="2" t="str">
        <f t="shared" si="27"/>
        <v>Error?</v>
      </c>
    </row>
    <row r="1809" spans="1:4" x14ac:dyDescent="0.2">
      <c r="A1809" s="5">
        <v>1748</v>
      </c>
      <c r="B1809" s="1832">
        <f>'Tax Sched 23'!E5</f>
        <v>20000009</v>
      </c>
      <c r="D1809" s="2" t="str">
        <f t="shared" si="27"/>
        <v>Error?</v>
      </c>
    </row>
    <row r="1810" spans="1:4" x14ac:dyDescent="0.2">
      <c r="A1810" s="5">
        <v>1749</v>
      </c>
      <c r="B1810" s="1832">
        <f>'Tax Sched 23'!E6</f>
        <v>4947158</v>
      </c>
      <c r="D1810" s="2" t="str">
        <f t="shared" si="27"/>
        <v>Error?</v>
      </c>
    </row>
    <row r="1811" spans="1:4" x14ac:dyDescent="0.2">
      <c r="A1811" s="5">
        <v>1750</v>
      </c>
      <c r="B1811" s="1832">
        <f>'Tax Sched 23'!E7</f>
        <v>5500016</v>
      </c>
      <c r="D1811" s="2" t="str">
        <f t="shared" si="27"/>
        <v>Error?</v>
      </c>
    </row>
    <row r="1812" spans="1:4" x14ac:dyDescent="0.2">
      <c r="A1812" s="5">
        <v>1751</v>
      </c>
      <c r="B1812" s="1832">
        <f>'Tax Sched 23'!E8</f>
        <v>1800025</v>
      </c>
      <c r="D1812" s="2" t="str">
        <f t="shared" si="27"/>
        <v>Error?</v>
      </c>
    </row>
    <row r="1813" spans="1:4" x14ac:dyDescent="0.2">
      <c r="A1813" s="5">
        <v>1752</v>
      </c>
      <c r="B1813" s="1832">
        <f>'Tax Sched 23'!E10</f>
        <v>500032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25013</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7000037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107201941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44894385</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6204979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6204979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6204979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878405</v>
      </c>
      <c r="D2008" s="2" t="str">
        <f t="shared" si="30"/>
        <v>Error?</v>
      </c>
    </row>
    <row r="2009" spans="1:4" x14ac:dyDescent="0.2">
      <c r="A2009" s="5">
        <v>1948</v>
      </c>
      <c r="B2009" s="1832">
        <f>'Cap Outlay Deprec 26'!C8</f>
        <v>241916783</v>
      </c>
      <c r="D2009" s="2" t="str">
        <f t="shared" si="30"/>
        <v>Error?</v>
      </c>
    </row>
    <row r="2010" spans="1:4" x14ac:dyDescent="0.2">
      <c r="A2010" s="5">
        <v>1949</v>
      </c>
      <c r="B2010" s="1832">
        <f>'Cap Outlay Deprec 26'!C10</f>
        <v>13109241</v>
      </c>
      <c r="D2010" s="2" t="str">
        <f t="shared" si="30"/>
        <v>Error?</v>
      </c>
    </row>
    <row r="2011" spans="1:4" x14ac:dyDescent="0.2">
      <c r="A2011" s="5">
        <v>1950</v>
      </c>
      <c r="B2011" s="1832">
        <f>'Cap Outlay Deprec 26'!C12</f>
        <v>51573671</v>
      </c>
      <c r="D2011" s="2" t="str">
        <f t="shared" si="30"/>
        <v>Error?</v>
      </c>
    </row>
    <row r="2012" spans="1:4" x14ac:dyDescent="0.2">
      <c r="A2012" s="5">
        <v>1951</v>
      </c>
      <c r="B2012" s="1832">
        <f>'Cap Outlay Deprec 26'!C13</f>
        <v>5956275</v>
      </c>
      <c r="D2012" s="2" t="str">
        <f t="shared" si="30"/>
        <v>Error?</v>
      </c>
    </row>
    <row r="2013" spans="1:4" x14ac:dyDescent="0.2">
      <c r="A2013" s="5">
        <v>1952</v>
      </c>
      <c r="B2013" s="1832">
        <f>'Cap Outlay Deprec 26'!C16</f>
        <v>313434375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19602367</v>
      </c>
      <c r="D2015" s="2" t="str">
        <f t="shared" si="30"/>
        <v>Error?</v>
      </c>
    </row>
    <row r="2016" spans="1:4" x14ac:dyDescent="0.2">
      <c r="A2016" s="5">
        <v>1955</v>
      </c>
      <c r="B2016" s="1832">
        <f>'Cap Outlay Deprec 26'!D10</f>
        <v>473306</v>
      </c>
      <c r="D2016" s="2" t="str">
        <f t="shared" si="30"/>
        <v>Error?</v>
      </c>
    </row>
    <row r="2017" spans="1:4" x14ac:dyDescent="0.2">
      <c r="A2017" s="5">
        <v>1956</v>
      </c>
      <c r="B2017" s="1832">
        <f>'Cap Outlay Deprec 26'!D12</f>
        <v>4175336</v>
      </c>
      <c r="D2017" s="2" t="str">
        <f t="shared" si="30"/>
        <v>Error?</v>
      </c>
    </row>
    <row r="2018" spans="1:4" x14ac:dyDescent="0.2">
      <c r="A2018" s="5">
        <v>1957</v>
      </c>
      <c r="B2018" s="1832">
        <f>'Cap Outlay Deprec 26'!D13</f>
        <v>178489</v>
      </c>
      <c r="D2018" s="2" t="str">
        <f t="shared" si="30"/>
        <v>Error?</v>
      </c>
    </row>
    <row r="2019" spans="1:4" x14ac:dyDescent="0.2">
      <c r="A2019" s="5">
        <v>1958</v>
      </c>
      <c r="B2019" s="1832">
        <f>'Cap Outlay Deprec 26'!D16</f>
        <v>24429498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878405</v>
      </c>
      <c r="C2026" s="2" t="s">
        <v>569</v>
      </c>
      <c r="D2026" s="2" t="str">
        <f t="shared" si="30"/>
        <v>Error?</v>
      </c>
    </row>
    <row r="2027" spans="1:4" x14ac:dyDescent="0.2">
      <c r="A2027" s="5">
        <v>1966</v>
      </c>
      <c r="B2027" s="1832">
        <f>'Cap Outlay Deprec 26'!F8</f>
        <v>261519150</v>
      </c>
      <c r="C2027" s="2" t="s">
        <v>569</v>
      </c>
      <c r="D2027" s="2" t="str">
        <f t="shared" si="30"/>
        <v>Error?</v>
      </c>
    </row>
    <row r="2028" spans="1:4" x14ac:dyDescent="0.2">
      <c r="A2028" s="5">
        <v>1967</v>
      </c>
      <c r="B2028" s="1832">
        <f>'Cap Outlay Deprec 26'!F10</f>
        <v>13582547</v>
      </c>
      <c r="C2028" s="2" t="s">
        <v>569</v>
      </c>
      <c r="D2028" s="2" t="str">
        <f t="shared" si="30"/>
        <v>Error?</v>
      </c>
    </row>
    <row r="2029" spans="1:4" x14ac:dyDescent="0.2">
      <c r="A2029" s="5">
        <v>1968</v>
      </c>
      <c r="B2029" s="1832">
        <f>'Cap Outlay Deprec 26'!F12</f>
        <v>55749007</v>
      </c>
      <c r="C2029" s="2" t="s">
        <v>569</v>
      </c>
      <c r="D2029" s="2" t="str">
        <f t="shared" si="30"/>
        <v>Error?</v>
      </c>
    </row>
    <row r="2030" spans="1:4" x14ac:dyDescent="0.2">
      <c r="A2030" s="5">
        <v>1969</v>
      </c>
      <c r="B2030" s="1832">
        <f>'Cap Outlay Deprec 26'!F13</f>
        <v>6134764</v>
      </c>
      <c r="C2030" s="2" t="s">
        <v>569</v>
      </c>
      <c r="D2030" s="2" t="str">
        <f t="shared" si="30"/>
        <v>Error?</v>
      </c>
    </row>
    <row r="2031" spans="1:4" x14ac:dyDescent="0.2">
      <c r="A2031" s="5">
        <v>1970</v>
      </c>
      <c r="B2031" s="1832">
        <f>'Cap Outlay Deprec 26'!F16</f>
        <v>337863873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57111227</v>
      </c>
      <c r="D2033" s="2" t="str">
        <f t="shared" si="30"/>
        <v>Error?</v>
      </c>
    </row>
    <row r="2034" spans="1:4" x14ac:dyDescent="0.2">
      <c r="A2034" s="5">
        <v>1973</v>
      </c>
      <c r="B2034" s="1832">
        <f>'Cap Outlay Deprec 26'!H10</f>
        <v>9334398</v>
      </c>
      <c r="D2034" s="2" t="str">
        <f t="shared" si="30"/>
        <v>Error?</v>
      </c>
    </row>
    <row r="2035" spans="1:4" x14ac:dyDescent="0.2">
      <c r="A2035" s="5">
        <v>1974</v>
      </c>
      <c r="B2035" s="1832">
        <f>'Cap Outlay Deprec 26'!H12</f>
        <v>36885532</v>
      </c>
      <c r="D2035" s="2" t="str">
        <f t="shared" si="30"/>
        <v>Error?</v>
      </c>
    </row>
    <row r="2036" spans="1:4" x14ac:dyDescent="0.2">
      <c r="A2036" s="5">
        <v>1975</v>
      </c>
      <c r="B2036" s="1832">
        <f>'Cap Outlay Deprec 26'!H13</f>
        <v>5676643</v>
      </c>
      <c r="D2036" s="2" t="str">
        <f t="shared" si="30"/>
        <v>Error?</v>
      </c>
    </row>
    <row r="2037" spans="1:4" x14ac:dyDescent="0.2">
      <c r="A2037" s="5">
        <v>1976</v>
      </c>
      <c r="B2037" s="1832">
        <f>'Cap Outlay Deprec 26'!H16</f>
        <v>109007800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4550584</v>
      </c>
      <c r="D2039" s="2" t="str">
        <f t="shared" si="30"/>
        <v>Error?</v>
      </c>
    </row>
    <row r="2040" spans="1:4" x14ac:dyDescent="0.2">
      <c r="A2040" s="5">
        <v>1979</v>
      </c>
      <c r="B2040" s="1832">
        <f>'Cap Outlay Deprec 26'!I10</f>
        <v>454792</v>
      </c>
      <c r="D2040" s="2" t="str">
        <f t="shared" si="30"/>
        <v>Error?</v>
      </c>
    </row>
    <row r="2041" spans="1:4" x14ac:dyDescent="0.2">
      <c r="A2041" s="5">
        <v>1980</v>
      </c>
      <c r="B2041" s="1832">
        <f>'Cap Outlay Deprec 26'!I12</f>
        <v>3080517</v>
      </c>
      <c r="D2041" s="2" t="str">
        <f t="shared" si="30"/>
        <v>Error?</v>
      </c>
    </row>
    <row r="2042" spans="1:4" x14ac:dyDescent="0.2">
      <c r="A2042" s="5">
        <v>1981</v>
      </c>
      <c r="B2042" s="1832">
        <f>'Cap Outlay Deprec 26'!I13</f>
        <v>118208</v>
      </c>
      <c r="D2042" s="2" t="str">
        <f t="shared" si="30"/>
        <v>Error?</v>
      </c>
    </row>
    <row r="2043" spans="1:4" x14ac:dyDescent="0.2">
      <c r="A2043" s="5">
        <v>1982</v>
      </c>
      <c r="B2043" s="1832">
        <f>'Cap Outlay Deprec 26'!I16</f>
        <v>8204101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61661811</v>
      </c>
      <c r="C2051" s="2" t="s">
        <v>569</v>
      </c>
      <c r="D2051" s="2" t="str">
        <f t="shared" si="31"/>
        <v>Error?</v>
      </c>
    </row>
    <row r="2052" spans="1:4" x14ac:dyDescent="0.2">
      <c r="A2052" s="5">
        <v>1991</v>
      </c>
      <c r="B2052" s="1832">
        <f>'Cap Outlay Deprec 26'!K10</f>
        <v>9789190</v>
      </c>
      <c r="C2052" s="2" t="s">
        <v>569</v>
      </c>
      <c r="D2052" s="2" t="str">
        <f t="shared" si="31"/>
        <v>Error?</v>
      </c>
    </row>
    <row r="2053" spans="1:4" x14ac:dyDescent="0.2">
      <c r="A2053" s="5">
        <v>1992</v>
      </c>
      <c r="B2053" s="1832">
        <f>'Cap Outlay Deprec 26'!K12</f>
        <v>39966049</v>
      </c>
      <c r="C2053" s="2" t="s">
        <v>569</v>
      </c>
      <c r="D2053" s="2" t="str">
        <f t="shared" si="31"/>
        <v>Error?</v>
      </c>
    </row>
    <row r="2054" spans="1:4" x14ac:dyDescent="0.2">
      <c r="A2054" s="5">
        <v>1993</v>
      </c>
      <c r="B2054" s="1832">
        <f>'Cap Outlay Deprec 26'!K13</f>
        <v>5794851</v>
      </c>
      <c r="C2054" s="2" t="s">
        <v>569</v>
      </c>
      <c r="D2054" s="2" t="str">
        <f t="shared" si="31"/>
        <v>Error?</v>
      </c>
    </row>
    <row r="2055" spans="1:4" x14ac:dyDescent="0.2">
      <c r="A2055" s="5">
        <v>1994</v>
      </c>
      <c r="B2055" s="1832">
        <f>'Cap Outlay Deprec 26'!K16</f>
        <v>117211901</v>
      </c>
      <c r="C2055" s="2" t="s">
        <v>569</v>
      </c>
      <c r="D2055" s="2" t="str">
        <f t="shared" si="31"/>
        <v>Error?</v>
      </c>
    </row>
    <row r="2056" spans="1:4" x14ac:dyDescent="0.2">
      <c r="A2056" s="5">
        <v>1995</v>
      </c>
      <c r="B2056" s="1832">
        <f>'Cap Outlay Deprec 26'!L5</f>
        <v>878405</v>
      </c>
      <c r="C2056" s="2" t="s">
        <v>569</v>
      </c>
      <c r="D2056" s="2" t="str">
        <f t="shared" si="31"/>
        <v>Error?</v>
      </c>
    </row>
    <row r="2057" spans="1:4" x14ac:dyDescent="0.2">
      <c r="A2057" s="5">
        <v>1996</v>
      </c>
      <c r="B2057" s="1832">
        <f>'Cap Outlay Deprec 26'!L8</f>
        <v>199857339</v>
      </c>
      <c r="C2057" s="2" t="s">
        <v>569</v>
      </c>
      <c r="D2057" s="2" t="str">
        <f t="shared" si="31"/>
        <v>Error?</v>
      </c>
    </row>
    <row r="2058" spans="1:4" x14ac:dyDescent="0.2">
      <c r="A2058" s="5">
        <v>1997</v>
      </c>
      <c r="B2058" s="1832">
        <f>'Cap Outlay Deprec 26'!L10</f>
        <v>3793357</v>
      </c>
      <c r="C2058" s="2" t="s">
        <v>569</v>
      </c>
      <c r="D2058" s="2" t="str">
        <f t="shared" si="31"/>
        <v>Error?</v>
      </c>
    </row>
    <row r="2059" spans="1:4" x14ac:dyDescent="0.2">
      <c r="A2059" s="5">
        <v>1998</v>
      </c>
      <c r="B2059" s="1832">
        <f>'Cap Outlay Deprec 26'!L12</f>
        <v>15782958</v>
      </c>
      <c r="C2059" s="2" t="s">
        <v>569</v>
      </c>
      <c r="D2059" s="2" t="str">
        <f t="shared" si="31"/>
        <v>Error?</v>
      </c>
    </row>
    <row r="2060" spans="1:4" x14ac:dyDescent="0.2">
      <c r="A2060" s="5">
        <v>1999</v>
      </c>
      <c r="B2060" s="1832">
        <f>'Cap Outlay Deprec 26'!L13</f>
        <v>339913</v>
      </c>
      <c r="C2060" s="2" t="s">
        <v>569</v>
      </c>
      <c r="D2060" s="2" t="str">
        <f t="shared" si="31"/>
        <v>Error?</v>
      </c>
    </row>
    <row r="2061" spans="1:4" x14ac:dyDescent="0.2">
      <c r="A2061" s="5">
        <v>2000</v>
      </c>
      <c r="B2061" s="1832">
        <f>'Cap Outlay Deprec 26'!L16</f>
        <v>220651972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738022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6910940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133011</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41065000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75213334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3846748</v>
      </c>
      <c r="C2553" s="2" t="s">
        <v>569</v>
      </c>
      <c r="D2553" s="2" t="str">
        <f t="shared" si="38"/>
        <v>Error?</v>
      </c>
    </row>
    <row r="2554" spans="1:4" x14ac:dyDescent="0.2">
      <c r="A2554" s="5">
        <v>2493</v>
      </c>
      <c r="B2554" s="1832">
        <f>'Acct Summary 7-8'!C7</f>
        <v>1640407</v>
      </c>
      <c r="C2554" s="2" t="s">
        <v>569</v>
      </c>
      <c r="D2554" s="2" t="str">
        <f t="shared" si="38"/>
        <v>Error?</v>
      </c>
    </row>
    <row r="2555" spans="1:4" x14ac:dyDescent="0.2">
      <c r="A2555" s="5">
        <v>2494</v>
      </c>
      <c r="B2555" s="1832">
        <f>'Acct Summary 7-8'!C8</f>
        <v>80700489</v>
      </c>
      <c r="C2555" s="2" t="s">
        <v>569</v>
      </c>
      <c r="D2555" s="2" t="str">
        <f t="shared" si="38"/>
        <v>Error?</v>
      </c>
    </row>
    <row r="2556" spans="1:4" x14ac:dyDescent="0.2">
      <c r="A2556" s="5">
        <v>2495</v>
      </c>
      <c r="B2556" s="1832">
        <f>'Acct Summary 7-8'!C12</f>
        <v>54759251</v>
      </c>
      <c r="C2556" s="2" t="s">
        <v>569</v>
      </c>
      <c r="D2556" s="2" t="str">
        <f t="shared" si="38"/>
        <v>Error?</v>
      </c>
    </row>
    <row r="2557" spans="1:4" x14ac:dyDescent="0.2">
      <c r="A2557" s="5">
        <v>2496</v>
      </c>
      <c r="B2557" s="1832">
        <f>'Acct Summary 7-8'!C13</f>
        <v>26547923</v>
      </c>
      <c r="C2557" s="2" t="s">
        <v>569</v>
      </c>
      <c r="D2557" s="2" t="str">
        <f t="shared" si="38"/>
        <v>Error?</v>
      </c>
    </row>
    <row r="2558" spans="1:4" x14ac:dyDescent="0.2">
      <c r="A2558" s="5">
        <v>2497</v>
      </c>
      <c r="B2558" s="1832">
        <f>'Acct Summary 7-8'!C14</f>
        <v>2759326</v>
      </c>
      <c r="C2558" s="2" t="s">
        <v>569</v>
      </c>
      <c r="D2558" s="2" t="str">
        <f t="shared" si="38"/>
        <v>Error?</v>
      </c>
    </row>
    <row r="2559" spans="1:4" x14ac:dyDescent="0.2">
      <c r="A2559" s="5">
        <v>2498</v>
      </c>
      <c r="B2559" s="1832">
        <f>'Acct Summary 7-8'!C15</f>
        <v>6910940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90977440</v>
      </c>
      <c r="C2561" s="2" t="s">
        <v>569</v>
      </c>
      <c r="D2561" s="2" t="str">
        <f t="shared" si="39"/>
        <v>Error?</v>
      </c>
    </row>
    <row r="2562" spans="1:4" x14ac:dyDescent="0.2">
      <c r="A2562" s="5">
        <v>2501</v>
      </c>
      <c r="B2562" s="1832">
        <f>'Acct Summary 7-8'!C20</f>
        <v>-10276951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18357347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18407347</v>
      </c>
      <c r="C2568" s="2" t="s">
        <v>569</v>
      </c>
      <c r="D2568" s="2" t="str">
        <f t="shared" si="39"/>
        <v>Error?</v>
      </c>
    </row>
    <row r="2569" spans="1:4" x14ac:dyDescent="0.2">
      <c r="A2569" s="5">
        <v>2508</v>
      </c>
      <c r="B2569" s="1832">
        <f>'Acct Summary 7-8'!D13</f>
        <v>30260433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30260433</v>
      </c>
      <c r="C2573" s="2" t="s">
        <v>569</v>
      </c>
      <c r="D2573" s="2" t="str">
        <f t="shared" si="39"/>
        <v>Error?</v>
      </c>
    </row>
    <row r="2574" spans="1:4" x14ac:dyDescent="0.2">
      <c r="A2574" s="5">
        <v>2513</v>
      </c>
      <c r="B2574" s="1832">
        <f>'Acct Summary 7-8'!D20</f>
        <v>-11853086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4876356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1656078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6532434</v>
      </c>
      <c r="C2595" s="2" t="s">
        <v>569</v>
      </c>
      <c r="D2595" s="2" t="str">
        <f t="shared" si="39"/>
        <v>Error?</v>
      </c>
    </row>
    <row r="2596" spans="1:4" x14ac:dyDescent="0.2">
      <c r="A2596" s="5">
        <v>2535</v>
      </c>
      <c r="B2596" s="1832">
        <f>'Acct Summary 7-8'!F13</f>
        <v>5023678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5023678</v>
      </c>
      <c r="C2600" s="2" t="s">
        <v>569</v>
      </c>
      <c r="D2600" s="2" t="str">
        <f t="shared" si="39"/>
        <v>Error?</v>
      </c>
    </row>
    <row r="2601" spans="1:4" x14ac:dyDescent="0.2">
      <c r="A2601" s="5">
        <v>2540</v>
      </c>
      <c r="B2601" s="1832">
        <f>'Acct Summary 7-8'!F20</f>
        <v>1508756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2961158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2961158</v>
      </c>
      <c r="C2606" s="2" t="s">
        <v>569</v>
      </c>
      <c r="D2606" s="2" t="str">
        <f t="shared" si="39"/>
        <v>Error?</v>
      </c>
    </row>
    <row r="2607" spans="1:4" x14ac:dyDescent="0.2">
      <c r="A2607" s="5">
        <v>2546</v>
      </c>
      <c r="B2607" s="1832">
        <f>'Acct Summary 7-8'!G12</f>
        <v>1307987</v>
      </c>
      <c r="C2607" s="2" t="s">
        <v>569</v>
      </c>
      <c r="D2607" s="2" t="str">
        <f t="shared" si="39"/>
        <v>Error?</v>
      </c>
    </row>
    <row r="2608" spans="1:4" x14ac:dyDescent="0.2">
      <c r="A2608" s="5">
        <v>2547</v>
      </c>
      <c r="B2608" s="1832">
        <f>'Acct Summary 7-8'!G13</f>
        <v>1582181</v>
      </c>
      <c r="C2608" s="2" t="s">
        <v>569</v>
      </c>
      <c r="D2608" s="2" t="str">
        <f t="shared" si="39"/>
        <v>Error?</v>
      </c>
    </row>
    <row r="2609" spans="1:4" x14ac:dyDescent="0.2">
      <c r="A2609" s="5">
        <v>2548</v>
      </c>
      <c r="B2609" s="1832">
        <f>'Acct Summary 7-8'!G14</f>
        <v>391676</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3311865</v>
      </c>
      <c r="C2612" s="2" t="s">
        <v>569</v>
      </c>
      <c r="D2612" s="2" t="str">
        <f t="shared" si="39"/>
        <v>Error?</v>
      </c>
    </row>
    <row r="2613" spans="1:4" x14ac:dyDescent="0.2">
      <c r="A2613" s="5">
        <v>2552</v>
      </c>
      <c r="B2613" s="1832">
        <f>'Acct Summary 7-8'!G20</f>
        <v>-350707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4569000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4569000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4903485</v>
      </c>
      <c r="C2634" s="2" t="s">
        <v>569</v>
      </c>
      <c r="D2634" s="2" t="str">
        <f t="shared" si="40"/>
        <v>Error?</v>
      </c>
    </row>
    <row r="2635" spans="1:4" x14ac:dyDescent="0.2">
      <c r="A2635" s="5">
        <v>2574</v>
      </c>
      <c r="B2635" s="1832">
        <f>'Acct Summary 7-8'!E17</f>
        <v>4903485</v>
      </c>
      <c r="C2635" s="2" t="s">
        <v>569</v>
      </c>
      <c r="D2635" s="2" t="str">
        <f t="shared" si="40"/>
        <v>Error?</v>
      </c>
    </row>
    <row r="2636" spans="1:4" x14ac:dyDescent="0.2">
      <c r="A2636" s="5">
        <v>2575</v>
      </c>
      <c r="B2636" s="1832">
        <f>'Acct Summary 7-8'!E20</f>
        <v>-334485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1991</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1251189</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6172918</v>
      </c>
      <c r="C2789" s="2" t="s">
        <v>569</v>
      </c>
      <c r="D2789" s="2" t="str">
        <f t="shared" si="42"/>
        <v>Error?</v>
      </c>
    </row>
    <row r="2790" spans="1:4" x14ac:dyDescent="0.2">
      <c r="A2790" s="5">
        <v>2729</v>
      </c>
      <c r="B2790" s="1832">
        <f>'Expenditures 15-22'!E102</f>
        <v>6172918</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1154367</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40448</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52894</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11285593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2108179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11285593</v>
      </c>
      <c r="D2912" s="2" t="str">
        <f t="shared" si="44"/>
        <v>Error?</v>
      </c>
    </row>
    <row r="2913" spans="1:4" x14ac:dyDescent="0.2">
      <c r="A2913" s="5">
        <v>2852</v>
      </c>
      <c r="B2913" s="1832">
        <f>'Assets-Liab 5-6'!I41</f>
        <v>11285593</v>
      </c>
      <c r="C2913" s="2" t="s">
        <v>569</v>
      </c>
      <c r="D2913" s="2" t="str">
        <f t="shared" si="44"/>
        <v>Error?</v>
      </c>
    </row>
    <row r="2914" spans="1:4" x14ac:dyDescent="0.2">
      <c r="A2914" s="5">
        <v>2853</v>
      </c>
      <c r="B2914" s="1832">
        <f>'Assets-Liab 5-6'!L33</f>
        <v>2108179</v>
      </c>
      <c r="D2914" s="2" t="str">
        <f t="shared" si="44"/>
        <v>Error?</v>
      </c>
    </row>
    <row r="2915" spans="1:4" x14ac:dyDescent="0.2">
      <c r="A2915" s="10">
        <v>2854</v>
      </c>
      <c r="B2915" s="1832"/>
      <c r="D2915" s="2" t="str">
        <f t="shared" si="44"/>
        <v>OK</v>
      </c>
    </row>
    <row r="2916" spans="1:4" x14ac:dyDescent="0.2">
      <c r="A2916" s="5">
        <v>2855</v>
      </c>
      <c r="B2916" s="1832">
        <f>'Assets-Liab 5-6'!L34</f>
        <v>2108179</v>
      </c>
      <c r="C2916" s="2" t="s">
        <v>569</v>
      </c>
      <c r="D2916" s="2" t="str">
        <f t="shared" si="44"/>
        <v>Error?</v>
      </c>
    </row>
    <row r="2917" spans="1:4" x14ac:dyDescent="0.2">
      <c r="A2917" s="5">
        <v>2856</v>
      </c>
      <c r="B2917" s="1832">
        <f>'Assets-Liab 5-6'!L41</f>
        <v>2108179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6172918</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738022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6910940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1991</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596768</v>
      </c>
      <c r="C3225" s="2" t="s">
        <v>569</v>
      </c>
      <c r="D3225" s="2" t="str">
        <f t="shared" si="49"/>
        <v>Error?</v>
      </c>
    </row>
    <row r="3226" spans="1:4" x14ac:dyDescent="0.2">
      <c r="A3226" s="5">
        <v>3165</v>
      </c>
      <c r="B3226" s="1832">
        <f>'Acct Summary 7-8'!I8</f>
        <v>596768</v>
      </c>
      <c r="C3226" s="2" t="s">
        <v>569</v>
      </c>
      <c r="D3226" s="2" t="str">
        <f t="shared" si="49"/>
        <v>Error?</v>
      </c>
    </row>
    <row r="3227" spans="1:4" x14ac:dyDescent="0.2">
      <c r="A3227" s="5">
        <v>3166</v>
      </c>
      <c r="B3227" s="1832">
        <f>'Acct Summary 7-8'!I20</f>
        <v>596768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1266871</v>
      </c>
      <c r="C3231" s="2" t="s">
        <v>569</v>
      </c>
      <c r="D3231" s="2" t="str">
        <f t="shared" si="49"/>
        <v>Error?</v>
      </c>
    </row>
    <row r="3232" spans="1:4" x14ac:dyDescent="0.2">
      <c r="A3232" s="5">
        <v>3171</v>
      </c>
      <c r="B3232" s="1832">
        <f>'Acct Summary 7-8'!C77</f>
        <v>-1266871</v>
      </c>
      <c r="C3232" s="2" t="s">
        <v>569</v>
      </c>
      <c r="D3232" s="2" t="str">
        <f t="shared" si="49"/>
        <v>Error?</v>
      </c>
    </row>
    <row r="3233" spans="1:4" x14ac:dyDescent="0.2">
      <c r="A3233" s="5">
        <v>3172</v>
      </c>
      <c r="B3233" s="1832">
        <f>'Acct Summary 7-8'!C78</f>
        <v>-11543822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1388426</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1388426</v>
      </c>
      <c r="C3238" s="2" t="s">
        <v>569</v>
      </c>
      <c r="D3238" s="2" t="str">
        <f t="shared" si="49"/>
        <v>Error?</v>
      </c>
    </row>
    <row r="3239" spans="1:4" x14ac:dyDescent="0.2">
      <c r="A3239" s="5">
        <v>3178</v>
      </c>
      <c r="B3239" s="1832">
        <f>'Acct Summary 7-8'!D78</f>
        <v>-10464660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52894</v>
      </c>
      <c r="C3254" s="2" t="s">
        <v>569</v>
      </c>
      <c r="D3254" s="2" t="str">
        <f t="shared" si="49"/>
        <v>Error?</v>
      </c>
    </row>
    <row r="3255" spans="1:4" x14ac:dyDescent="0.2">
      <c r="A3255" s="5">
        <v>3194</v>
      </c>
      <c r="B3255" s="1832">
        <f>'Acct Summary 7-8'!F77</f>
        <v>-52894</v>
      </c>
      <c r="C3255" s="2" t="s">
        <v>569</v>
      </c>
      <c r="D3255" s="2" t="str">
        <f t="shared" si="49"/>
        <v>Error?</v>
      </c>
    </row>
    <row r="3256" spans="1:4" x14ac:dyDescent="0.2">
      <c r="A3256" s="5">
        <v>3195</v>
      </c>
      <c r="B3256" s="1832">
        <f>'Acct Summary 7-8'!F78</f>
        <v>1455862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-350707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112504</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40448</v>
      </c>
      <c r="C3276" s="2" t="s">
        <v>569</v>
      </c>
      <c r="D3276" s="2" t="str">
        <f t="shared" si="50"/>
        <v>Error?</v>
      </c>
    </row>
    <row r="3277" spans="1:4" x14ac:dyDescent="0.2">
      <c r="A3277" s="5">
        <v>3216</v>
      </c>
      <c r="B3277" s="1832">
        <f>'Acct Summary 7-8'!E77</f>
        <v>72056</v>
      </c>
      <c r="C3277" s="2" t="s">
        <v>569</v>
      </c>
      <c r="D3277" s="2" t="str">
        <f t="shared" si="50"/>
        <v>Error?</v>
      </c>
    </row>
    <row r="3278" spans="1:4" x14ac:dyDescent="0.2">
      <c r="A3278" s="5">
        <v>3217</v>
      </c>
      <c r="B3278" s="1832">
        <f>'Acct Summary 7-8'!E78</f>
        <v>-262429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133011</v>
      </c>
      <c r="C3318" s="2" t="s">
        <v>569</v>
      </c>
      <c r="D3318" s="2" t="str">
        <f t="shared" si="50"/>
        <v>Error?</v>
      </c>
    </row>
    <row r="3319" spans="1:4" x14ac:dyDescent="0.2">
      <c r="A3319" s="5">
        <v>3258</v>
      </c>
      <c r="B3319" s="1832">
        <f>'Acct Summary 7-8'!I77</f>
        <v>-133011</v>
      </c>
      <c r="C3319" s="2" t="s">
        <v>569</v>
      </c>
      <c r="D3319" s="2" t="str">
        <f t="shared" si="50"/>
        <v>Error?</v>
      </c>
    </row>
    <row r="3320" spans="1:4" x14ac:dyDescent="0.2">
      <c r="A3320" s="5">
        <v>3259</v>
      </c>
      <c r="B3320" s="1832">
        <f>'Acct Summary 7-8'!I78</f>
        <v>463757</v>
      </c>
      <c r="C3320" s="2" t="s">
        <v>569</v>
      </c>
      <c r="D3320" s="2" t="str">
        <f t="shared" si="50"/>
        <v>Error?</v>
      </c>
    </row>
    <row r="3321" spans="1:4" x14ac:dyDescent="0.2">
      <c r="A3321" s="5">
        <v>3260</v>
      </c>
      <c r="B3321" s="1832">
        <f>'Acct Summary 7-8'!I79</f>
        <v>10821836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11285593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5753168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993868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13754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34504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5809</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3358</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6804461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680922</v>
      </c>
      <c r="D3387" s="2" t="str">
        <f t="shared" si="51"/>
        <v>Error?</v>
      </c>
    </row>
    <row r="3388" spans="1:4" x14ac:dyDescent="0.2">
      <c r="A3388" s="5">
        <v>3327</v>
      </c>
      <c r="B3388" s="1832">
        <f>'Expenditures 15-22'!D217</f>
        <v>298065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680922</v>
      </c>
      <c r="C3390" s="2" t="s">
        <v>569</v>
      </c>
      <c r="D3390" s="2" t="str">
        <f t="shared" si="51"/>
        <v>Error?</v>
      </c>
    </row>
    <row r="3391" spans="1:4" x14ac:dyDescent="0.2">
      <c r="A3391" s="5">
        <v>3330</v>
      </c>
      <c r="B3391" s="1832">
        <f>'Expenditures 15-22'!K217</f>
        <v>298065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89331136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11574748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3533568</v>
      </c>
      <c r="D3417" s="2" t="str">
        <f t="shared" si="52"/>
        <v>Error?</v>
      </c>
    </row>
    <row r="3418" spans="1:4" x14ac:dyDescent="0.2">
      <c r="A3418" s="10">
        <v>3357</v>
      </c>
      <c r="B3418" s="1832"/>
      <c r="D3418" s="2" t="str">
        <f t="shared" si="52"/>
        <v>OK</v>
      </c>
    </row>
    <row r="3419" spans="1:4" x14ac:dyDescent="0.2">
      <c r="A3419" s="5">
        <v>3358</v>
      </c>
      <c r="B3419" s="1832">
        <f>'Assets-Liab 5-6'!F4</f>
        <v>5642780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4220737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11285593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2108179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1148417</v>
      </c>
      <c r="C3446" s="2" t="s">
        <v>569</v>
      </c>
      <c r="D3446" s="2" t="str">
        <f t="shared" si="52"/>
        <v>Error?</v>
      </c>
    </row>
    <row r="3447" spans="1:4" x14ac:dyDescent="0.2">
      <c r="A3447" s="5">
        <v>3386</v>
      </c>
      <c r="B3447" s="1832">
        <f>'Tax Sched 23'!D16</f>
        <v>610393</v>
      </c>
      <c r="C3447" s="2" t="s">
        <v>569</v>
      </c>
      <c r="D3447" s="2" t="str">
        <f t="shared" si="52"/>
        <v>Error?</v>
      </c>
    </row>
    <row r="3448" spans="1:4" x14ac:dyDescent="0.2">
      <c r="A3448" s="5">
        <v>3387</v>
      </c>
      <c r="B3448" s="1832">
        <f>'Tax Sched 23'!C16</f>
        <v>538024</v>
      </c>
      <c r="D3448" s="2" t="str">
        <f t="shared" si="52"/>
        <v>Error?</v>
      </c>
    </row>
    <row r="3449" spans="1:4" x14ac:dyDescent="0.2">
      <c r="A3449" s="5">
        <v>3388</v>
      </c>
      <c r="B3449" s="1832">
        <f>'Tax Sched 23'!F16</f>
        <v>762007</v>
      </c>
      <c r="C3449" s="2" t="s">
        <v>569</v>
      </c>
      <c r="D3449" s="2" t="str">
        <f t="shared" si="52"/>
        <v>Error?</v>
      </c>
    </row>
    <row r="3450" spans="1:4" x14ac:dyDescent="0.2">
      <c r="A3450" s="5">
        <v>3389</v>
      </c>
      <c r="B3450" s="1832">
        <f>'Tax Sched 23'!E16</f>
        <v>1300031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1991</v>
      </c>
      <c r="E3521" s="4" t="s">
        <v>134</v>
      </c>
    </row>
    <row r="3522" spans="1:5" x14ac:dyDescent="0.2">
      <c r="A3522" s="10">
        <v>3461</v>
      </c>
      <c r="B3522" s="1832"/>
      <c r="D3522" s="4" t="s">
        <v>1991</v>
      </c>
      <c r="E3522" s="4" t="s">
        <v>134</v>
      </c>
    </row>
    <row r="3523" spans="1:5" x14ac:dyDescent="0.2">
      <c r="A3523" s="10">
        <v>3462</v>
      </c>
      <c r="B3523" s="1832"/>
      <c r="D3523" s="4" t="s">
        <v>1991</v>
      </c>
      <c r="E3523" s="4" t="s">
        <v>134</v>
      </c>
    </row>
    <row r="3524" spans="1:5" x14ac:dyDescent="0.2">
      <c r="A3524" s="10">
        <v>3463</v>
      </c>
      <c r="B3524" s="1832"/>
      <c r="D3524" s="4" t="s">
        <v>1991</v>
      </c>
      <c r="E3524" s="4" t="s">
        <v>134</v>
      </c>
    </row>
    <row r="3525" spans="1:5" x14ac:dyDescent="0.2">
      <c r="A3525" s="10">
        <v>3464</v>
      </c>
      <c r="B3525" s="1832"/>
      <c r="D3525" s="4" t="s">
        <v>1991</v>
      </c>
      <c r="E3525" s="4" t="s">
        <v>134</v>
      </c>
    </row>
    <row r="3526" spans="1:5" x14ac:dyDescent="0.2">
      <c r="A3526" s="10">
        <v>3465</v>
      </c>
      <c r="B3526" s="1832"/>
      <c r="D3526" s="4" t="s">
        <v>1991</v>
      </c>
      <c r="E3526" s="4" t="s">
        <v>134</v>
      </c>
    </row>
    <row r="3527" spans="1:5" x14ac:dyDescent="0.2">
      <c r="A3527" s="10">
        <v>3466</v>
      </c>
      <c r="B3527" s="1832"/>
      <c r="D3527" s="4" t="s">
        <v>1991</v>
      </c>
      <c r="E3527" s="4" t="s">
        <v>134</v>
      </c>
    </row>
    <row r="3528" spans="1:5" x14ac:dyDescent="0.2">
      <c r="A3528" s="10">
        <v>3467</v>
      </c>
      <c r="B3528" s="1832"/>
      <c r="D3528" s="4" t="s">
        <v>1991</v>
      </c>
      <c r="E3528" s="4" t="s">
        <v>134</v>
      </c>
    </row>
    <row r="3529" spans="1:5" x14ac:dyDescent="0.2">
      <c r="A3529" s="10">
        <v>3468</v>
      </c>
      <c r="B3529" s="1832"/>
      <c r="D3529" s="4" t="s">
        <v>1991</v>
      </c>
      <c r="E3529" s="4" t="s">
        <v>134</v>
      </c>
    </row>
    <row r="3530" spans="1:5" x14ac:dyDescent="0.2">
      <c r="A3530" s="5">
        <v>3469</v>
      </c>
      <c r="B3530" s="1832">
        <f>'Acct Summary 7-8'!C36</f>
        <v>0</v>
      </c>
      <c r="D3530" s="2" t="str">
        <f t="shared" si="54"/>
        <v>Error?</v>
      </c>
    </row>
    <row r="3531" spans="1:5" x14ac:dyDescent="0.2">
      <c r="A3531" s="5">
        <v>3470</v>
      </c>
      <c r="B3531" s="1832">
        <f>'Acct Summary 7-8'!D36</f>
        <v>4226</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1097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1097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1097</v>
      </c>
      <c r="D3567" s="2" t="str">
        <f t="shared" si="54"/>
        <v>Error?</v>
      </c>
    </row>
    <row r="3568" spans="1:4" x14ac:dyDescent="0.2">
      <c r="A3568" s="5">
        <v>3507</v>
      </c>
      <c r="B3568" s="1832">
        <f>'Assets-Liab 5-6'!K41</f>
        <v>1097</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1097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1097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30021</v>
      </c>
      <c r="D3721" s="2" t="str">
        <f t="shared" si="57"/>
        <v>Error?</v>
      </c>
    </row>
    <row r="3722" spans="1:4" x14ac:dyDescent="0.2">
      <c r="A3722" s="5">
        <v>3661</v>
      </c>
      <c r="B3722" s="1832">
        <f>'Expenditures 15-22'!D285</f>
        <v>30021</v>
      </c>
      <c r="C3722" s="2" t="s">
        <v>569</v>
      </c>
      <c r="D3722" s="2" t="str">
        <f t="shared" si="57"/>
        <v>Error?</v>
      </c>
    </row>
    <row r="3723" spans="1:4" x14ac:dyDescent="0.2">
      <c r="A3723" s="5">
        <v>3662</v>
      </c>
      <c r="B3723" s="1832">
        <f>'Expenditures 15-22'!K283</f>
        <v>30021</v>
      </c>
      <c r="C3723" s="2" t="s">
        <v>569</v>
      </c>
      <c r="D3723" s="2" t="str">
        <f t="shared" si="57"/>
        <v>Error?</v>
      </c>
    </row>
    <row r="3724" spans="1:4" x14ac:dyDescent="0.2">
      <c r="A3724" s="5">
        <v>3663</v>
      </c>
      <c r="B3724" s="1832">
        <f>'Expenditures 15-22'!K285</f>
        <v>30021</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33951592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114652081</v>
      </c>
      <c r="C4122" s="2" t="s">
        <v>569</v>
      </c>
      <c r="D4122" s="2" t="str">
        <f t="shared" si="63"/>
        <v>Error?</v>
      </c>
    </row>
    <row r="4123" spans="1:4" x14ac:dyDescent="0.2">
      <c r="A4123" s="5">
        <v>4062</v>
      </c>
      <c r="B4123" s="1832">
        <f>'Acct Summary 7-8'!D10</f>
        <v>18407347</v>
      </c>
      <c r="C4123" s="2" t="s">
        <v>569</v>
      </c>
      <c r="D4123" s="2" t="str">
        <f t="shared" si="63"/>
        <v>Error?</v>
      </c>
    </row>
    <row r="4124" spans="1:4" x14ac:dyDescent="0.2">
      <c r="A4124" s="5">
        <v>4063</v>
      </c>
      <c r="B4124" s="1832">
        <f>'Acct Summary 7-8'!E10</f>
        <v>4569000</v>
      </c>
      <c r="C4124" s="2" t="s">
        <v>569</v>
      </c>
      <c r="D4124" s="2" t="str">
        <f t="shared" si="63"/>
        <v>Error?</v>
      </c>
    </row>
    <row r="4125" spans="1:4" x14ac:dyDescent="0.2">
      <c r="A4125" s="5">
        <v>4064</v>
      </c>
      <c r="B4125" s="1832">
        <f>'Acct Summary 7-8'!F10</f>
        <v>6532434</v>
      </c>
      <c r="C4125" s="2" t="s">
        <v>569</v>
      </c>
      <c r="D4125" s="2" t="str">
        <f t="shared" si="63"/>
        <v>Error?</v>
      </c>
    </row>
    <row r="4126" spans="1:4" x14ac:dyDescent="0.2">
      <c r="A4126" s="5">
        <v>4065</v>
      </c>
      <c r="B4126" s="1832">
        <f>'Acct Summary 7-8'!G10</f>
        <v>2961158</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596768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33951592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124929032</v>
      </c>
      <c r="C4136" s="2" t="s">
        <v>569</v>
      </c>
      <c r="D4136" s="2" t="str">
        <f t="shared" si="63"/>
        <v>Error?</v>
      </c>
    </row>
    <row r="4137" spans="1:4" x14ac:dyDescent="0.2">
      <c r="A4137" s="5">
        <v>4076</v>
      </c>
      <c r="B4137" s="1832">
        <f>'Acct Summary 7-8'!D19</f>
        <v>30260433</v>
      </c>
      <c r="C4137" s="2" t="s">
        <v>569</v>
      </c>
      <c r="D4137" s="2" t="str">
        <f t="shared" si="63"/>
        <v>Error?</v>
      </c>
    </row>
    <row r="4138" spans="1:4" x14ac:dyDescent="0.2">
      <c r="A4138" s="5">
        <v>4077</v>
      </c>
      <c r="B4138" s="1832">
        <f>'Acct Summary 7-8'!E19</f>
        <v>4903485</v>
      </c>
      <c r="C4138" s="2" t="s">
        <v>569</v>
      </c>
      <c r="D4138" s="2" t="str">
        <f t="shared" si="63"/>
        <v>Error?</v>
      </c>
    </row>
    <row r="4139" spans="1:4" x14ac:dyDescent="0.2">
      <c r="A4139" s="5">
        <v>4078</v>
      </c>
      <c r="B4139" s="1832">
        <f>'Acct Summary 7-8'!F19</f>
        <v>5023678</v>
      </c>
      <c r="C4139" s="2" t="s">
        <v>569</v>
      </c>
      <c r="D4139" s="2" t="str">
        <f t="shared" si="63"/>
        <v>Error?</v>
      </c>
    </row>
    <row r="4140" spans="1:4" x14ac:dyDescent="0.2">
      <c r="A4140" s="5">
        <v>4079</v>
      </c>
      <c r="B4140" s="1832">
        <f>'Acct Summary 7-8'!G19</f>
        <v>3311865</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41218447</v>
      </c>
      <c r="C4171" s="2" t="s">
        <v>569</v>
      </c>
      <c r="D4171" s="2" t="str">
        <f t="shared" si="64"/>
        <v>Error?</v>
      </c>
    </row>
    <row r="4172" spans="1:4" x14ac:dyDescent="0.2">
      <c r="A4172" s="5">
        <v>4111</v>
      </c>
      <c r="B4172" s="1832">
        <f>'Short-Term Long-Term Debt 24'!J49</f>
        <v>37684879</v>
      </c>
      <c r="C4172" s="2" t="s">
        <v>569</v>
      </c>
      <c r="D4172" s="2" t="str">
        <f t="shared" si="64"/>
        <v>Error?</v>
      </c>
    </row>
    <row r="4173" spans="1:4" x14ac:dyDescent="0.2">
      <c r="A4173" s="5">
        <v>4112</v>
      </c>
      <c r="B4173" s="1832">
        <f>'Short-Term Long-Term Debt 24'!H49</f>
        <v>3785549</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109611</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1893</v>
      </c>
    </row>
    <row r="4236" spans="1:5" x14ac:dyDescent="0.2">
      <c r="A4236" s="10">
        <v>4175</v>
      </c>
      <c r="B4236" s="1832"/>
      <c r="D4236" s="2" t="str">
        <f t="shared" si="65"/>
        <v>OK</v>
      </c>
      <c r="E4236" s="4" t="s">
        <v>1893</v>
      </c>
    </row>
    <row r="4237" spans="1:5" x14ac:dyDescent="0.2">
      <c r="A4237" s="10">
        <v>4176</v>
      </c>
      <c r="B4237" s="1832"/>
      <c r="D4237" s="2" t="str">
        <f t="shared" si="65"/>
        <v>OK</v>
      </c>
      <c r="E4237" s="4" t="s">
        <v>1893</v>
      </c>
    </row>
    <row r="4238" spans="1:5" x14ac:dyDescent="0.2">
      <c r="A4238" s="10">
        <v>4177</v>
      </c>
      <c r="B4238" s="1832"/>
      <c r="D4238" s="2" t="str">
        <f t="shared" si="65"/>
        <v>OK</v>
      </c>
      <c r="E4238" s="4" t="s">
        <v>1893</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1771.4</v>
      </c>
      <c r="C4265" s="2" t="s">
        <v>569</v>
      </c>
      <c r="D4265" s="2" t="str">
        <f t="shared" si="65"/>
        <v>Error?</v>
      </c>
      <c r="E4265" s="125"/>
    </row>
    <row r="4266" spans="1:5" x14ac:dyDescent="0.2">
      <c r="A4266" s="12">
        <v>4205</v>
      </c>
      <c r="B4266" s="1832">
        <f>('FP Info 3'!F10)*100000</f>
        <v>535.69999999999993</v>
      </c>
      <c r="C4266" s="2" t="s">
        <v>569</v>
      </c>
      <c r="D4266" s="2" t="str">
        <f t="shared" si="65"/>
        <v>Error?</v>
      </c>
      <c r="E4266" s="125"/>
    </row>
    <row r="4267" spans="1:5" x14ac:dyDescent="0.2">
      <c r="A4267" s="12">
        <v>4206</v>
      </c>
      <c r="B4267" s="1832">
        <f>('FP Info 3'!H10)*100000</f>
        <v>147.29999999999998</v>
      </c>
      <c r="C4267" s="2" t="s">
        <v>569</v>
      </c>
      <c r="D4267" s="2" t="str">
        <f t="shared" si="65"/>
        <v>Error?</v>
      </c>
      <c r="E4267" s="125"/>
    </row>
    <row r="4268" spans="1:5" x14ac:dyDescent="0.2">
      <c r="A4268" s="12">
        <v>4207</v>
      </c>
      <c r="B4268" s="1832">
        <f>('FP Info 3'!J10)*100000</f>
        <v>2454</v>
      </c>
      <c r="C4268" s="2" t="s">
        <v>569</v>
      </c>
      <c r="D4268" s="2" t="str">
        <f t="shared" si="65"/>
        <v>Error?</v>
      </c>
    </row>
    <row r="4269" spans="1:5" x14ac:dyDescent="0.2">
      <c r="A4269" s="12">
        <v>4208</v>
      </c>
      <c r="B4269" s="1832">
        <f>'FP Info 3'!J16</f>
        <v>118127507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50000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27894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228121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1893</v>
      </c>
    </row>
    <row r="4400" spans="1:5" x14ac:dyDescent="0.2">
      <c r="A4400" s="10">
        <v>4339</v>
      </c>
      <c r="B4400" s="1832"/>
      <c r="D4400" s="2" t="str">
        <f t="shared" si="67"/>
        <v>OK</v>
      </c>
      <c r="E4400" s="4" t="s">
        <v>1893</v>
      </c>
    </row>
    <row r="4401" spans="1:5" x14ac:dyDescent="0.2">
      <c r="A4401" s="10">
        <v>4340</v>
      </c>
      <c r="B4401" s="1832"/>
      <c r="D4401" s="2" t="str">
        <f t="shared" si="67"/>
        <v>OK</v>
      </c>
      <c r="E4401" s="4" t="s">
        <v>1893</v>
      </c>
    </row>
    <row r="4402" spans="1:5" x14ac:dyDescent="0.2">
      <c r="A4402" s="10">
        <v>4341</v>
      </c>
      <c r="B4402" s="1832"/>
      <c r="D4402" s="2" t="str">
        <f t="shared" si="67"/>
        <v>OK</v>
      </c>
      <c r="E4402" s="4" t="s">
        <v>1893</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13900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86939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13.4</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768641</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31561</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3733253474</v>
      </c>
      <c r="D4995" s="2" t="str">
        <f t="shared" si="77"/>
        <v>Error?</v>
      </c>
    </row>
    <row r="4996" spans="1:4" x14ac:dyDescent="0.2">
      <c r="A4996" s="12">
        <v>4935</v>
      </c>
      <c r="B4996" s="1832">
        <f>'FP Info 3'!H31</f>
        <v>257594489.70600003</v>
      </c>
      <c r="D4996" s="2" t="str">
        <f t="shared" si="77"/>
        <v>Error?</v>
      </c>
    </row>
    <row r="4997" spans="1:4" x14ac:dyDescent="0.2">
      <c r="A4997" s="12">
        <v>4936</v>
      </c>
      <c r="B4997" s="1832">
        <f>'FP Info 3'!H37</f>
        <v>41218447</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60906391</v>
      </c>
      <c r="D5061" s="2" t="str">
        <f t="shared" si="78"/>
        <v>Error?</v>
      </c>
    </row>
    <row r="5062" spans="1:4" x14ac:dyDescent="0.2">
      <c r="A5062" s="10">
        <v>5001</v>
      </c>
      <c r="B5062" s="1832"/>
      <c r="D5062" s="2" t="str">
        <f t="shared" si="78"/>
        <v>OK</v>
      </c>
    </row>
    <row r="5063" spans="1:4" x14ac:dyDescent="0.2">
      <c r="A5063" s="5">
        <v>5002</v>
      </c>
      <c r="B5063" s="1832">
        <f>'Revenues 9-14'!C7</f>
        <v>6204979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67111370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139010</v>
      </c>
      <c r="D5074" s="2" t="str">
        <f t="shared" si="78"/>
        <v>Error?</v>
      </c>
    </row>
    <row r="5075" spans="1:4" x14ac:dyDescent="0.2">
      <c r="A5075" s="5">
        <v>5014</v>
      </c>
      <c r="B5075" s="1832">
        <f>'Revenues 9-14'!C24</f>
        <v>915049</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1054059</v>
      </c>
      <c r="C5087" s="2" t="s">
        <v>569</v>
      </c>
      <c r="D5087" s="2" t="str">
        <f t="shared" si="78"/>
        <v>Error?</v>
      </c>
    </row>
    <row r="5088" spans="1:4" x14ac:dyDescent="0.2">
      <c r="A5088" s="5">
        <v>5027</v>
      </c>
      <c r="B5088" s="1832">
        <f>'Revenues 9-14'!C65</f>
        <v>2319403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2319403</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2189191</v>
      </c>
      <c r="C5096" s="2" t="s">
        <v>569</v>
      </c>
      <c r="D5096" s="2" t="str">
        <f t="shared" si="78"/>
        <v>Error?</v>
      </c>
    </row>
    <row r="5097" spans="1:4" x14ac:dyDescent="0.2">
      <c r="A5097" s="5">
        <v>5036</v>
      </c>
      <c r="B5097" s="1832">
        <f>'Revenues 9-14'!C77</f>
        <v>38521</v>
      </c>
      <c r="D5097" s="2" t="str">
        <f t="shared" si="78"/>
        <v>Error?</v>
      </c>
    </row>
    <row r="5098" spans="1:4" x14ac:dyDescent="0.2">
      <c r="A5098" s="5">
        <v>5037</v>
      </c>
      <c r="B5098" s="1832">
        <f>'Revenues 9-14'!C78</f>
        <v>35392</v>
      </c>
      <c r="D5098" s="2" t="str">
        <f t="shared" si="78"/>
        <v>Error?</v>
      </c>
    </row>
    <row r="5099" spans="1:4" x14ac:dyDescent="0.2">
      <c r="A5099" s="5">
        <v>5038</v>
      </c>
      <c r="B5099" s="1832">
        <f>'Revenues 9-14'!C79</f>
        <v>822107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716873</v>
      </c>
      <c r="D5101" s="2" t="str">
        <f t="shared" si="78"/>
        <v>Error?</v>
      </c>
    </row>
    <row r="5102" spans="1:4" x14ac:dyDescent="0.2">
      <c r="A5102" s="5">
        <v>5041</v>
      </c>
      <c r="B5102" s="1832">
        <f>'Revenues 9-14'!C82</f>
        <v>1612893</v>
      </c>
      <c r="C5102" s="2" t="s">
        <v>569</v>
      </c>
      <c r="D5102" s="2" t="str">
        <f t="shared" si="78"/>
        <v>Error?</v>
      </c>
    </row>
    <row r="5103" spans="1:4" x14ac:dyDescent="0.2">
      <c r="A5103" s="5">
        <v>5042</v>
      </c>
      <c r="B5103" s="1832">
        <f>'Revenues 9-14'!C84</f>
        <v>815850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815850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20668</v>
      </c>
      <c r="D5119" s="2" t="str">
        <f t="shared" ref="D5119:D5182" si="79">IF(ISBLANK(B5119),"OK",IF(A5119-B5119=0,"OK","Error?"))</f>
        <v>Error?</v>
      </c>
    </row>
    <row r="5120" spans="1:4" x14ac:dyDescent="0.2">
      <c r="A5120" s="5">
        <v>5059</v>
      </c>
      <c r="B5120" s="1832">
        <f>'Revenues 9-14'!C108</f>
        <v>110568</v>
      </c>
      <c r="C5120" s="2" t="s">
        <v>569</v>
      </c>
      <c r="D5120" s="2" t="str">
        <f t="shared" si="79"/>
        <v>Error?</v>
      </c>
    </row>
    <row r="5121" spans="1:4" x14ac:dyDescent="0.2">
      <c r="A5121" s="5">
        <v>5060</v>
      </c>
      <c r="B5121" s="1832">
        <f>'Revenues 9-14'!C109</f>
        <v>75213334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2556880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2556880</v>
      </c>
      <c r="C5132" s="2" t="s">
        <v>569</v>
      </c>
      <c r="D5132" s="2" t="str">
        <f t="shared" si="79"/>
        <v>Error?</v>
      </c>
    </row>
    <row r="5133" spans="1:4" x14ac:dyDescent="0.2">
      <c r="A5133" s="5">
        <v>5072</v>
      </c>
      <c r="B5133" s="1832">
        <f>'Revenues 9-14'!C125</f>
        <v>424092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424092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47748</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47748</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49387</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1893</v>
      </c>
    </row>
    <row r="5200" spans="1:5" x14ac:dyDescent="0.2">
      <c r="A5200" s="10">
        <v>5139</v>
      </c>
      <c r="B5200" s="1832"/>
      <c r="D5200" s="2" t="str">
        <f t="shared" si="80"/>
        <v>OK</v>
      </c>
      <c r="E5200" s="4" t="s">
        <v>1893</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1289868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3846748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1893</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633423</v>
      </c>
      <c r="D5278" s="2" t="str">
        <f t="shared" si="81"/>
        <v>Error?</v>
      </c>
    </row>
    <row r="5279" spans="1:4" x14ac:dyDescent="0.2">
      <c r="A5279" s="5">
        <v>5218</v>
      </c>
      <c r="B5279" s="1832">
        <f>'Revenues 9-14'!C214</f>
        <v>602137</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1235560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16432</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16432</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1893</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1640407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1640407</v>
      </c>
      <c r="C5326" s="2" t="s">
        <v>569</v>
      </c>
      <c r="D5326" s="2" t="str">
        <f t="shared" si="82"/>
        <v>Error?</v>
      </c>
    </row>
    <row r="5327" spans="1:5" x14ac:dyDescent="0.2">
      <c r="A5327" s="5">
        <v>5266</v>
      </c>
      <c r="B5327" s="1832">
        <f>'Revenues 9-14'!C268</f>
        <v>80700489</v>
      </c>
      <c r="C5327" s="2" t="s">
        <v>569</v>
      </c>
      <c r="D5327" s="2" t="str">
        <f t="shared" si="82"/>
        <v>Error?</v>
      </c>
    </row>
    <row r="5328" spans="1:5" x14ac:dyDescent="0.2">
      <c r="A5328" s="5">
        <v>5267</v>
      </c>
      <c r="B5328" s="1832">
        <f>'Revenues 9-14'!D5</f>
        <v>17851102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17851102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150000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150000</v>
      </c>
      <c r="C5339" s="2" t="s">
        <v>569</v>
      </c>
      <c r="D5339" s="2" t="str">
        <f t="shared" si="82"/>
        <v>Error?</v>
      </c>
    </row>
    <row r="5340" spans="1:4" x14ac:dyDescent="0.2">
      <c r="A5340" s="5">
        <v>5279</v>
      </c>
      <c r="B5340" s="1832">
        <f>'Revenues 9-14'!D65</f>
        <v>164554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164554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88308</v>
      </c>
      <c r="D5349" s="2" t="str">
        <f t="shared" si="82"/>
        <v>Error?</v>
      </c>
    </row>
    <row r="5350" spans="1:4" x14ac:dyDescent="0.2">
      <c r="A5350" s="5">
        <v>5289</v>
      </c>
      <c r="B5350" s="1832">
        <f>'Revenues 9-14'!D96</f>
        <v>43940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59443</v>
      </c>
      <c r="D5354" s="2" t="str">
        <f t="shared" si="82"/>
        <v>Error?</v>
      </c>
    </row>
    <row r="5355" spans="1:4" x14ac:dyDescent="0.2">
      <c r="A5355" s="5">
        <v>5294</v>
      </c>
      <c r="B5355" s="1832">
        <f>'Revenues 9-14'!D108</f>
        <v>191691</v>
      </c>
      <c r="C5355" s="2" t="s">
        <v>569</v>
      </c>
      <c r="D5355" s="2" t="str">
        <f t="shared" si="82"/>
        <v>Error?</v>
      </c>
    </row>
    <row r="5356" spans="1:4" x14ac:dyDescent="0.2">
      <c r="A5356" s="5">
        <v>5295</v>
      </c>
      <c r="B5356" s="1832">
        <f>'Revenues 9-14'!D109</f>
        <v>18357347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1893</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18407347</v>
      </c>
      <c r="C5508" s="2" t="s">
        <v>569</v>
      </c>
      <c r="D5508" s="2" t="str">
        <f t="shared" si="85"/>
        <v>Error?</v>
      </c>
    </row>
    <row r="5509" spans="1:4" x14ac:dyDescent="0.2">
      <c r="A5509" s="5">
        <v>5448</v>
      </c>
      <c r="B5509" s="1832">
        <f>'Revenues 9-14'!E5</f>
        <v>4528552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4528552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40448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40448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4569000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4569000</v>
      </c>
      <c r="C5552" s="2" t="s">
        <v>569</v>
      </c>
      <c r="D5552" s="2" t="str">
        <f t="shared" si="85"/>
        <v>Error?</v>
      </c>
    </row>
    <row r="5553" spans="1:4" x14ac:dyDescent="0.2">
      <c r="A5553" s="5">
        <v>5492</v>
      </c>
      <c r="B5553" s="1832">
        <f>'Revenues 9-14'!F5</f>
        <v>4823462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4823462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52894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52894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4876356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652278</v>
      </c>
      <c r="D5615" s="2" t="str">
        <f t="shared" si="86"/>
        <v>Error?</v>
      </c>
    </row>
    <row r="5616" spans="1:4" x14ac:dyDescent="0.2">
      <c r="A5616" s="10">
        <v>5555</v>
      </c>
      <c r="B5616" s="1832"/>
      <c r="D5616" s="2" t="str">
        <f t="shared" si="86"/>
        <v>OK</v>
      </c>
    </row>
    <row r="5617" spans="1:5" x14ac:dyDescent="0.2">
      <c r="A5617" s="5">
        <v>5556</v>
      </c>
      <c r="B5617" s="1832">
        <f>'Revenues 9-14'!F153</f>
        <v>1003800</v>
      </c>
      <c r="D5617" s="2" t="str">
        <f t="shared" si="86"/>
        <v>Error?</v>
      </c>
    </row>
    <row r="5618" spans="1:5" x14ac:dyDescent="0.2">
      <c r="A5618" s="5">
        <v>5557</v>
      </c>
      <c r="B5618" s="1832">
        <f>'Revenues 9-14'!F155</f>
        <v>1656078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1893</v>
      </c>
    </row>
    <row r="5631" spans="1:5" x14ac:dyDescent="0.2">
      <c r="A5631" s="10">
        <v>5570</v>
      </c>
      <c r="B5631" s="1832"/>
      <c r="D5631" s="2" t="str">
        <f t="shared" ref="D5631:D5694" si="87">IF(ISBLANK(B5631),"OK",IF(A5631-B5631=0,"OK","Error?"))</f>
        <v>OK</v>
      </c>
      <c r="E5631" s="4" t="s">
        <v>1893</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1656078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1656078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1893</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1893</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6532434</v>
      </c>
      <c r="C5720" s="2" t="s">
        <v>569</v>
      </c>
      <c r="D5720" s="2" t="str">
        <f t="shared" si="88"/>
        <v>Error?</v>
      </c>
    </row>
    <row r="5721" spans="1:4" x14ac:dyDescent="0.2">
      <c r="A5721" s="5">
        <v>5660</v>
      </c>
      <c r="B5721" s="1832">
        <f>'Revenues 9-14'!G5</f>
        <v>1601558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1148417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2749975</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159274</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159274</v>
      </c>
      <c r="C5730" s="2" t="s">
        <v>569</v>
      </c>
      <c r="D5730" s="2" t="str">
        <f t="shared" si="88"/>
        <v>Error?</v>
      </c>
    </row>
    <row r="5731" spans="1:4" x14ac:dyDescent="0.2">
      <c r="A5731" s="5">
        <v>5670</v>
      </c>
      <c r="B5731" s="1832">
        <f>'Revenues 9-14'!G65</f>
        <v>51909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51909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1893</v>
      </c>
    </row>
    <row r="5768" spans="1:5" x14ac:dyDescent="0.2">
      <c r="A5768" s="10">
        <v>5707</v>
      </c>
      <c r="B5768" s="1832"/>
      <c r="D5768" s="2" t="str">
        <f t="shared" si="89"/>
        <v>OK</v>
      </c>
      <c r="E5768" s="4" t="s">
        <v>1893</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1893</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1893</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2961158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463757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463757</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133011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133011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596768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2961158</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596768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2189191</v>
      </c>
      <c r="D6031" s="2" t="str">
        <f t="shared" si="93"/>
        <v>Error?</v>
      </c>
    </row>
    <row r="6032" spans="1:5" x14ac:dyDescent="0.2">
      <c r="A6032" s="5">
        <v>5971</v>
      </c>
      <c r="B6032" s="1832">
        <f>'Acct Summary 7-8'!G15</f>
        <v>30021</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747</v>
      </c>
    </row>
    <row r="6035" spans="1:5" x14ac:dyDescent="0.2">
      <c r="A6035" s="13">
        <v>5974</v>
      </c>
      <c r="B6035" s="1833">
        <f>'ICR Computation 30'!E11</f>
        <v>0</v>
      </c>
      <c r="C6035" s="2" t="s">
        <v>569</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569</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569</v>
      </c>
      <c r="D6073" s="2" t="str">
        <f t="shared" si="93"/>
        <v>OK</v>
      </c>
      <c r="E6073" s="2" t="s">
        <v>913</v>
      </c>
    </row>
    <row r="6074" spans="1:5" x14ac:dyDescent="0.2">
      <c r="A6074" s="8">
        <v>6013</v>
      </c>
      <c r="B6074" s="1833">
        <f>'PCTC-OEPP 27-28'!F79</f>
        <v>4056.3</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286032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286032</v>
      </c>
      <c r="D6215" s="2" t="str">
        <f t="shared" si="96"/>
        <v>Error?</v>
      </c>
      <c r="E6215" s="2" t="s">
        <v>189</v>
      </c>
    </row>
    <row r="6216" spans="1:5" x14ac:dyDescent="0.2">
      <c r="A6216">
        <v>6155</v>
      </c>
      <c r="B6216" s="1832">
        <f>'Assets-Liab 5-6'!J41</f>
        <v>286032</v>
      </c>
      <c r="D6216" s="2" t="str">
        <f t="shared" si="96"/>
        <v>Error?</v>
      </c>
      <c r="E6216" s="2" t="s">
        <v>189</v>
      </c>
    </row>
    <row r="6217" spans="1:5" x14ac:dyDescent="0.2">
      <c r="A6217">
        <v>6156</v>
      </c>
      <c r="B6217" s="1832">
        <f>'Assets-Liab 5-6'!J4</f>
        <v>286032</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17681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17681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17681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370333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370333</v>
      </c>
      <c r="D6229" s="2" t="str">
        <f t="shared" si="96"/>
        <v>Error?</v>
      </c>
      <c r="E6229" s="2" t="s">
        <v>189</v>
      </c>
    </row>
    <row r="6230" spans="1:5" x14ac:dyDescent="0.2">
      <c r="A6230">
        <v>6169</v>
      </c>
      <c r="B6230" s="1832">
        <f>'Acct Summary 7-8'!J20</f>
        <v>-352652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3480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3480</v>
      </c>
      <c r="D6261" s="2" t="str">
        <f t="shared" si="96"/>
        <v>Error?</v>
      </c>
      <c r="E6261" s="2" t="s">
        <v>189</v>
      </c>
    </row>
    <row r="6262" spans="1:5" x14ac:dyDescent="0.2">
      <c r="A6262">
        <v>6201</v>
      </c>
      <c r="B6262" s="1832">
        <f>'Acct Summary 7-8'!J77</f>
        <v>-3480</v>
      </c>
      <c r="D6262" s="2" t="str">
        <f t="shared" si="96"/>
        <v>Error?</v>
      </c>
      <c r="E6262" s="2" t="s">
        <v>189</v>
      </c>
    </row>
    <row r="6263" spans="1:5" x14ac:dyDescent="0.2">
      <c r="A6263">
        <v>6202</v>
      </c>
      <c r="B6263" s="1832">
        <f>'Acct Summary 7-8'!J78</f>
        <v>-356132</v>
      </c>
      <c r="D6263" s="2" t="str">
        <f t="shared" si="96"/>
        <v>Error?</v>
      </c>
      <c r="E6263" s="2" t="s">
        <v>189</v>
      </c>
    </row>
    <row r="6264" spans="1:5" x14ac:dyDescent="0.2">
      <c r="A6264">
        <v>6203</v>
      </c>
      <c r="B6264" s="1832">
        <f>'Acct Summary 7-8'!J79</f>
        <v>642164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286032</v>
      </c>
      <c r="D6266" s="2" t="str">
        <f t="shared" si="96"/>
        <v>Error?</v>
      </c>
      <c r="E6266" s="2" t="s">
        <v>189</v>
      </c>
    </row>
    <row r="6267" spans="1:5" x14ac:dyDescent="0.2">
      <c r="A6267">
        <v>6206</v>
      </c>
      <c r="B6267" s="1832">
        <f>'Acct Summary 7-8'!C82</f>
        <v>-11543822</v>
      </c>
      <c r="D6267" s="2" t="str">
        <f t="shared" si="96"/>
        <v>Error?</v>
      </c>
      <c r="E6267" s="2" t="s">
        <v>189</v>
      </c>
    </row>
    <row r="6268" spans="1:5" x14ac:dyDescent="0.2">
      <c r="A6268">
        <v>6207</v>
      </c>
      <c r="B6268" s="1832">
        <f>'Acct Summary 7-8'!D82</f>
        <v>-10464660</v>
      </c>
      <c r="D6268" s="2" t="str">
        <f t="shared" si="96"/>
        <v>Error?</v>
      </c>
      <c r="E6268" s="2" t="s">
        <v>189</v>
      </c>
    </row>
    <row r="6269" spans="1:5" x14ac:dyDescent="0.2">
      <c r="A6269">
        <v>6208</v>
      </c>
      <c r="B6269" s="1832">
        <f>'Acct Summary 7-8'!E82</f>
        <v>-262429</v>
      </c>
      <c r="D6269" s="2" t="str">
        <f t="shared" si="96"/>
        <v>Error?</v>
      </c>
      <c r="E6269" s="2" t="s">
        <v>189</v>
      </c>
    </row>
    <row r="6270" spans="1:5" x14ac:dyDescent="0.2">
      <c r="A6270">
        <v>6209</v>
      </c>
      <c r="B6270" s="1832">
        <f>'Acct Summary 7-8'!F82</f>
        <v>1455862</v>
      </c>
      <c r="D6270" s="2" t="str">
        <f t="shared" si="96"/>
        <v>Error?</v>
      </c>
      <c r="E6270" s="2" t="s">
        <v>189</v>
      </c>
    </row>
    <row r="6271" spans="1:5" x14ac:dyDescent="0.2">
      <c r="A6271">
        <v>6210</v>
      </c>
      <c r="B6271" s="1832">
        <f>'Acct Summary 7-8'!G82</f>
        <v>-350707</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463757</v>
      </c>
      <c r="D6273" s="2" t="str">
        <f t="shared" si="97"/>
        <v>Error?</v>
      </c>
      <c r="E6273" s="2" t="s">
        <v>189</v>
      </c>
    </row>
    <row r="6274" spans="1:5" x14ac:dyDescent="0.2">
      <c r="A6274">
        <v>6213</v>
      </c>
      <c r="B6274" s="1832">
        <f>'Acct Summary 7-8'!J82</f>
        <v>-356132</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-0.12880224362150722</v>
      </c>
      <c r="D6276" s="2" t="str">
        <f t="shared" si="97"/>
        <v>Error?</v>
      </c>
      <c r="E6276" s="2" t="s">
        <v>189</v>
      </c>
    </row>
    <row r="6277" spans="1:5" x14ac:dyDescent="0.2">
      <c r="A6277">
        <v>6216</v>
      </c>
      <c r="B6277" s="1832">
        <f>'Acct Summary 7-8'!D83</f>
        <v>-0.90409398113894146</v>
      </c>
      <c r="D6277" s="2" t="str">
        <f t="shared" si="97"/>
        <v>Error?</v>
      </c>
      <c r="E6277" s="2" t="s">
        <v>189</v>
      </c>
    </row>
    <row r="6278" spans="1:5" x14ac:dyDescent="0.2">
      <c r="A6278">
        <v>6217</v>
      </c>
      <c r="B6278" s="1832">
        <f>'Acct Summary 7-8'!E83</f>
        <v>-7.4267426012461057E-2</v>
      </c>
      <c r="D6278" s="2" t="str">
        <f t="shared" si="97"/>
        <v>Error?</v>
      </c>
      <c r="E6278" s="2" t="s">
        <v>189</v>
      </c>
    </row>
    <row r="6279" spans="1:5" x14ac:dyDescent="0.2">
      <c r="A6279">
        <v>6218</v>
      </c>
      <c r="B6279" s="1832">
        <f>'Acct Summary 7-8'!F83</f>
        <v>0.25800438790808788</v>
      </c>
      <c r="D6279" s="2" t="str">
        <f t="shared" si="97"/>
        <v>Error?</v>
      </c>
      <c r="E6279" s="2" t="s">
        <v>189</v>
      </c>
    </row>
    <row r="6280" spans="1:5" x14ac:dyDescent="0.2">
      <c r="A6280">
        <v>6219</v>
      </c>
      <c r="B6280" s="1832">
        <f>'Acct Summary 7-8'!G83</f>
        <v>-8.30914127082545E-2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4.1092834022988425E-2</v>
      </c>
      <c r="D6282" s="2" t="str">
        <f t="shared" si="97"/>
        <v>Error?</v>
      </c>
      <c r="E6282" s="2" t="s">
        <v>189</v>
      </c>
    </row>
    <row r="6283" spans="1:5" x14ac:dyDescent="0.2">
      <c r="A6283">
        <v>6222</v>
      </c>
      <c r="B6283" s="1832">
        <f>'Acct Summary 7-8'!J83</f>
        <v>-1.2450774738490797</v>
      </c>
      <c r="D6283" s="2" t="str">
        <f t="shared" si="97"/>
        <v>Error?</v>
      </c>
      <c r="E6283" s="2" t="s">
        <v>189</v>
      </c>
    </row>
    <row r="6284" spans="1:5" x14ac:dyDescent="0.2">
      <c r="A6284">
        <v>6223</v>
      </c>
      <c r="B6284" s="1832">
        <f>'Acct Summary 7-8'!K83</f>
        <v>0</v>
      </c>
      <c r="D6284" s="2" t="str">
        <f t="shared" si="97"/>
        <v>Error?</v>
      </c>
      <c r="E6284" s="2" t="s">
        <v>189</v>
      </c>
    </row>
    <row r="6285" spans="1:5" x14ac:dyDescent="0.2">
      <c r="A6285">
        <v>6224</v>
      </c>
      <c r="B6285" s="1832">
        <f>'Acct Summary 7-8'!E37</f>
        <v>105643</v>
      </c>
      <c r="D6285" s="2" t="str">
        <f t="shared" si="97"/>
        <v>Error?</v>
      </c>
      <c r="E6285" s="2" t="s">
        <v>189</v>
      </c>
    </row>
    <row r="6286" spans="1:5" x14ac:dyDescent="0.2">
      <c r="A6286">
        <v>6225</v>
      </c>
      <c r="B6286" s="1832">
        <f>'Acct Summary 7-8'!E38</f>
        <v>6861</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14201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14201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3480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3480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89900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17681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1892</v>
      </c>
    </row>
    <row r="6383" spans="1:6" x14ac:dyDescent="0.2">
      <c r="A6383" s="126">
        <v>6322</v>
      </c>
      <c r="B6383" s="1832"/>
      <c r="D6383" s="2" t="str">
        <f t="shared" si="98"/>
        <v>OK</v>
      </c>
      <c r="E6383" s="2" t="s">
        <v>189</v>
      </c>
      <c r="F6383" s="1" t="s">
        <v>1892</v>
      </c>
    </row>
    <row r="6384" spans="1:6" x14ac:dyDescent="0.2">
      <c r="A6384" s="126">
        <v>6323</v>
      </c>
      <c r="B6384" s="1832"/>
      <c r="D6384" s="2" t="str">
        <f t="shared" si="98"/>
        <v>OK</v>
      </c>
      <c r="E6384" s="2" t="s">
        <v>189</v>
      </c>
      <c r="F6384" s="1" t="s">
        <v>1892</v>
      </c>
    </row>
    <row r="6385" spans="1:6" x14ac:dyDescent="0.2">
      <c r="A6385" s="126">
        <v>6324</v>
      </c>
      <c r="B6385" s="1832"/>
      <c r="D6385" s="2" t="str">
        <f t="shared" si="98"/>
        <v>OK</v>
      </c>
      <c r="E6385" s="2" t="s">
        <v>189</v>
      </c>
      <c r="F6385" s="1" t="s">
        <v>1892</v>
      </c>
    </row>
    <row r="6386" spans="1:6" x14ac:dyDescent="0.2">
      <c r="A6386" s="126">
        <v>6325</v>
      </c>
      <c r="B6386" s="1832"/>
      <c r="D6386" s="2" t="str">
        <f t="shared" si="98"/>
        <v>OK</v>
      </c>
      <c r="E6386" s="2" t="s">
        <v>189</v>
      </c>
      <c r="F6386" s="1" t="s">
        <v>1892</v>
      </c>
    </row>
    <row r="6387" spans="1:6" x14ac:dyDescent="0.2">
      <c r="A6387" s="126">
        <v>6326</v>
      </c>
      <c r="B6387" s="1832"/>
      <c r="D6387" s="2" t="str">
        <f t="shared" si="98"/>
        <v>OK</v>
      </c>
      <c r="E6387" s="2" t="s">
        <v>189</v>
      </c>
      <c r="F6387" s="1" t="s">
        <v>1892</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1892</v>
      </c>
    </row>
    <row r="6411" spans="1:6" x14ac:dyDescent="0.2">
      <c r="A6411" s="126">
        <v>6350</v>
      </c>
      <c r="B6411" s="1832"/>
      <c r="D6411" s="2" t="str">
        <f t="shared" si="99"/>
        <v>OK</v>
      </c>
      <c r="E6411" s="2" t="s">
        <v>189</v>
      </c>
      <c r="F6411" s="1" t="s">
        <v>1892</v>
      </c>
    </row>
    <row r="6412" spans="1:6" x14ac:dyDescent="0.2">
      <c r="A6412" s="126">
        <v>6351</v>
      </c>
      <c r="B6412" s="1832"/>
      <c r="D6412" s="2" t="str">
        <f t="shared" si="99"/>
        <v>OK</v>
      </c>
      <c r="E6412" s="2" t="s">
        <v>189</v>
      </c>
      <c r="F6412" s="1" t="s">
        <v>1892</v>
      </c>
    </row>
    <row r="6413" spans="1:6" x14ac:dyDescent="0.2">
      <c r="A6413" s="126">
        <v>6352</v>
      </c>
      <c r="B6413" s="1832"/>
      <c r="D6413" s="2" t="str">
        <f t="shared" si="99"/>
        <v>OK</v>
      </c>
      <c r="E6413" s="2" t="s">
        <v>189</v>
      </c>
      <c r="F6413" s="1" t="s">
        <v>1892</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1988</v>
      </c>
    </row>
    <row r="6417" spans="1:5" x14ac:dyDescent="0.2">
      <c r="A6417" s="126">
        <v>6356</v>
      </c>
      <c r="B6417" s="1832"/>
      <c r="D6417" s="2" t="str">
        <f t="shared" si="99"/>
        <v>OK</v>
      </c>
      <c r="E6417" s="4" t="s">
        <v>1988</v>
      </c>
    </row>
    <row r="6418" spans="1:5" x14ac:dyDescent="0.2">
      <c r="A6418" s="126">
        <v>6357</v>
      </c>
      <c r="B6418" s="1832"/>
      <c r="D6418" s="2" t="str">
        <f t="shared" si="99"/>
        <v>OK</v>
      </c>
      <c r="E6418" s="4" t="s">
        <v>1988</v>
      </c>
    </row>
    <row r="6419" spans="1:5" x14ac:dyDescent="0.2">
      <c r="A6419" s="126">
        <v>6358</v>
      </c>
      <c r="B6419" s="1832"/>
      <c r="D6419" s="2" t="str">
        <f t="shared" si="99"/>
        <v>OK</v>
      </c>
      <c r="E6419" s="4" t="s">
        <v>1988</v>
      </c>
    </row>
    <row r="6420" spans="1:5" x14ac:dyDescent="0.2">
      <c r="A6420" s="126">
        <v>6359</v>
      </c>
      <c r="B6420" s="1832"/>
      <c r="D6420" s="2" t="str">
        <f t="shared" si="99"/>
        <v>OK</v>
      </c>
      <c r="E6420" s="4" t="s">
        <v>1988</v>
      </c>
    </row>
    <row r="6421" spans="1:5" x14ac:dyDescent="0.2">
      <c r="A6421" s="126">
        <v>6360</v>
      </c>
      <c r="B6421" s="1832"/>
      <c r="D6421" s="2" t="str">
        <f t="shared" si="99"/>
        <v>OK</v>
      </c>
      <c r="E6421" s="4" t="s">
        <v>1988</v>
      </c>
    </row>
    <row r="6422" spans="1:5" x14ac:dyDescent="0.2">
      <c r="A6422" s="126">
        <v>6361</v>
      </c>
      <c r="B6422" s="1832"/>
      <c r="D6422" s="2" t="str">
        <f t="shared" si="99"/>
        <v>OK</v>
      </c>
      <c r="E6422" s="4" t="s">
        <v>1988</v>
      </c>
    </row>
    <row r="6423" spans="1:5" x14ac:dyDescent="0.2">
      <c r="A6423" s="126">
        <v>6362</v>
      </c>
      <c r="B6423" s="1832"/>
      <c r="D6423" s="2" t="str">
        <f t="shared" si="99"/>
        <v>OK</v>
      </c>
      <c r="E6423" s="4" t="s">
        <v>1988</v>
      </c>
    </row>
    <row r="6424" spans="1:5" x14ac:dyDescent="0.2">
      <c r="A6424" s="126">
        <v>6363</v>
      </c>
      <c r="B6424" s="1832"/>
      <c r="D6424" s="2" t="str">
        <f t="shared" si="99"/>
        <v>OK</v>
      </c>
      <c r="E6424" s="4" t="s">
        <v>1988</v>
      </c>
    </row>
    <row r="6425" spans="1:5" x14ac:dyDescent="0.2">
      <c r="A6425" s="126">
        <v>6364</v>
      </c>
      <c r="B6425" s="1832"/>
      <c r="D6425" s="2" t="str">
        <f t="shared" si="99"/>
        <v>OK</v>
      </c>
      <c r="E6425" s="4" t="s">
        <v>1988</v>
      </c>
    </row>
    <row r="6426" spans="1:5" x14ac:dyDescent="0.2">
      <c r="A6426" s="126">
        <v>6365</v>
      </c>
      <c r="B6426" s="1832"/>
      <c r="D6426" s="2" t="str">
        <f t="shared" si="99"/>
        <v>OK</v>
      </c>
      <c r="E6426" s="4" t="s">
        <v>1988</v>
      </c>
    </row>
    <row r="6427" spans="1:5" x14ac:dyDescent="0.2">
      <c r="A6427" s="126">
        <v>6366</v>
      </c>
      <c r="B6427" s="1832"/>
      <c r="D6427" s="2" t="str">
        <f t="shared" si="99"/>
        <v>OK</v>
      </c>
      <c r="E6427" s="4" t="s">
        <v>1988</v>
      </c>
    </row>
    <row r="6428" spans="1:5" x14ac:dyDescent="0.2">
      <c r="A6428" s="126">
        <v>6367</v>
      </c>
      <c r="B6428" s="1832"/>
      <c r="D6428" s="2" t="str">
        <f t="shared" si="99"/>
        <v>OK</v>
      </c>
      <c r="E6428" s="4" t="s">
        <v>1988</v>
      </c>
    </row>
    <row r="6429" spans="1:5" x14ac:dyDescent="0.2">
      <c r="A6429" s="126">
        <v>6368</v>
      </c>
      <c r="B6429" s="1832"/>
      <c r="D6429" s="2" t="str">
        <f t="shared" si="99"/>
        <v>OK</v>
      </c>
      <c r="E6429" s="4" t="s">
        <v>1988</v>
      </c>
    </row>
    <row r="6430" spans="1:5" x14ac:dyDescent="0.2">
      <c r="A6430" s="126">
        <v>6369</v>
      </c>
      <c r="B6430" s="1832"/>
      <c r="D6430" s="2" t="str">
        <f t="shared" si="99"/>
        <v>OK</v>
      </c>
      <c r="E6430" s="4" t="s">
        <v>1988</v>
      </c>
    </row>
    <row r="6431" spans="1:5" x14ac:dyDescent="0.2">
      <c r="A6431" s="126">
        <v>6370</v>
      </c>
      <c r="B6431" s="1832"/>
      <c r="D6431" s="2" t="str">
        <f t="shared" si="99"/>
        <v>OK</v>
      </c>
      <c r="E6431" s="4" t="s">
        <v>1988</v>
      </c>
    </row>
    <row r="6432" spans="1:5" x14ac:dyDescent="0.2">
      <c r="A6432" s="126">
        <v>6371</v>
      </c>
      <c r="B6432" s="1832"/>
      <c r="D6432" s="2" t="str">
        <f t="shared" si="99"/>
        <v>OK</v>
      </c>
      <c r="E6432" s="4" t="s">
        <v>1988</v>
      </c>
    </row>
    <row r="6433" spans="1:5" x14ac:dyDescent="0.2">
      <c r="A6433" s="126">
        <v>6372</v>
      </c>
      <c r="B6433" s="1832"/>
      <c r="D6433" s="2" t="str">
        <f t="shared" si="99"/>
        <v>OK</v>
      </c>
      <c r="E6433" s="4" t="s">
        <v>1988</v>
      </c>
    </row>
    <row r="6434" spans="1:5" x14ac:dyDescent="0.2">
      <c r="A6434" s="126">
        <v>6373</v>
      </c>
      <c r="B6434" s="1832"/>
      <c r="D6434" s="2" t="str">
        <f t="shared" si="99"/>
        <v>OK</v>
      </c>
      <c r="E6434" s="4" t="s">
        <v>1988</v>
      </c>
    </row>
    <row r="6435" spans="1:5" x14ac:dyDescent="0.2">
      <c r="A6435" s="126">
        <v>6374</v>
      </c>
      <c r="B6435" s="1832"/>
      <c r="D6435" s="2" t="str">
        <f t="shared" si="99"/>
        <v>OK</v>
      </c>
      <c r="E6435" s="4" t="s">
        <v>1988</v>
      </c>
    </row>
    <row r="6436" spans="1:5" x14ac:dyDescent="0.2">
      <c r="A6436" s="126">
        <v>6375</v>
      </c>
      <c r="B6436" s="1832"/>
      <c r="D6436" s="2" t="str">
        <f t="shared" si="99"/>
        <v>OK</v>
      </c>
      <c r="E6436" s="4" t="s">
        <v>1988</v>
      </c>
    </row>
    <row r="6437" spans="1:5" x14ac:dyDescent="0.2">
      <c r="A6437" s="126">
        <v>6376</v>
      </c>
      <c r="B6437" s="1832"/>
      <c r="D6437" s="2" t="str">
        <f t="shared" si="99"/>
        <v>OK</v>
      </c>
      <c r="E6437" s="4" t="s">
        <v>1988</v>
      </c>
    </row>
    <row r="6438" spans="1:5" x14ac:dyDescent="0.2">
      <c r="A6438" s="126">
        <v>6377</v>
      </c>
      <c r="B6438" s="1832"/>
      <c r="D6438" s="2" t="str">
        <f t="shared" si="99"/>
        <v>OK</v>
      </c>
      <c r="E6438" s="4" t="s">
        <v>1988</v>
      </c>
    </row>
    <row r="6439" spans="1:5" x14ac:dyDescent="0.2">
      <c r="A6439" s="126">
        <v>6378</v>
      </c>
      <c r="B6439" s="1832"/>
      <c r="D6439" s="2" t="str">
        <f t="shared" si="99"/>
        <v>OK</v>
      </c>
      <c r="E6439" s="4" t="s">
        <v>1988</v>
      </c>
    </row>
    <row r="6440" spans="1:5" x14ac:dyDescent="0.2">
      <c r="A6440" s="126">
        <v>6379</v>
      </c>
      <c r="B6440" s="1832"/>
      <c r="D6440" s="2" t="str">
        <f t="shared" si="99"/>
        <v>OK</v>
      </c>
      <c r="E6440" s="4" t="s">
        <v>1988</v>
      </c>
    </row>
    <row r="6441" spans="1:5" x14ac:dyDescent="0.2">
      <c r="A6441" s="126">
        <v>6380</v>
      </c>
      <c r="B6441" s="1832"/>
      <c r="D6441" s="2" t="str">
        <f t="shared" si="99"/>
        <v>OK</v>
      </c>
      <c r="E6441" s="4" t="s">
        <v>1988</v>
      </c>
    </row>
    <row r="6442" spans="1:5" x14ac:dyDescent="0.2">
      <c r="A6442" s="126">
        <v>6381</v>
      </c>
      <c r="B6442" s="1832"/>
      <c r="D6442" s="2" t="str">
        <f t="shared" si="99"/>
        <v>OK</v>
      </c>
      <c r="E6442" s="4" t="s">
        <v>1988</v>
      </c>
    </row>
    <row r="6443" spans="1:5" x14ac:dyDescent="0.2">
      <c r="A6443" s="126">
        <v>6382</v>
      </c>
      <c r="B6443" s="1832"/>
      <c r="D6443" s="2" t="str">
        <f t="shared" si="99"/>
        <v>OK</v>
      </c>
      <c r="E6443" s="4" t="s">
        <v>1988</v>
      </c>
    </row>
    <row r="6444" spans="1:5" x14ac:dyDescent="0.2">
      <c r="A6444" s="126">
        <v>6383</v>
      </c>
      <c r="B6444" s="1832"/>
      <c r="D6444" s="2" t="str">
        <f t="shared" si="99"/>
        <v>OK</v>
      </c>
      <c r="E6444" s="4" t="s">
        <v>1988</v>
      </c>
    </row>
    <row r="6445" spans="1:5" x14ac:dyDescent="0.2">
      <c r="A6445" s="126">
        <v>6384</v>
      </c>
      <c r="B6445" s="1832"/>
      <c r="D6445" s="2" t="str">
        <f t="shared" si="99"/>
        <v>OK</v>
      </c>
      <c r="E6445" s="4" t="s">
        <v>1988</v>
      </c>
    </row>
    <row r="6446" spans="1:5" x14ac:dyDescent="0.2">
      <c r="A6446" s="126">
        <v>6385</v>
      </c>
      <c r="B6446" s="1832"/>
      <c r="D6446" s="2" t="str">
        <f t="shared" si="99"/>
        <v>OK</v>
      </c>
      <c r="E6446" s="4" t="s">
        <v>1988</v>
      </c>
    </row>
    <row r="6447" spans="1:5" x14ac:dyDescent="0.2">
      <c r="A6447" s="126">
        <v>6386</v>
      </c>
      <c r="B6447" s="1832"/>
      <c r="D6447" s="2" t="str">
        <f t="shared" si="99"/>
        <v>OK</v>
      </c>
      <c r="E6447" s="4" t="s">
        <v>1988</v>
      </c>
    </row>
    <row r="6448" spans="1:5" x14ac:dyDescent="0.2">
      <c r="A6448" s="126">
        <v>6387</v>
      </c>
      <c r="B6448" s="1832"/>
      <c r="D6448" s="2" t="str">
        <f t="shared" si="99"/>
        <v>OK</v>
      </c>
      <c r="E6448" s="4" t="s">
        <v>1988</v>
      </c>
    </row>
    <row r="6449" spans="1:5" x14ac:dyDescent="0.2">
      <c r="A6449" s="126">
        <v>6388</v>
      </c>
      <c r="B6449" s="1832"/>
      <c r="D6449" s="2" t="str">
        <f t="shared" si="99"/>
        <v>OK</v>
      </c>
      <c r="E6449" s="4" t="s">
        <v>1988</v>
      </c>
    </row>
    <row r="6450" spans="1:5" x14ac:dyDescent="0.2">
      <c r="A6450" s="126">
        <v>6389</v>
      </c>
      <c r="B6450" s="1832"/>
      <c r="D6450" s="2" t="str">
        <f t="shared" si="99"/>
        <v>OK</v>
      </c>
      <c r="E6450" s="4" t="s">
        <v>1988</v>
      </c>
    </row>
    <row r="6451" spans="1:5" x14ac:dyDescent="0.2">
      <c r="A6451" s="126">
        <v>6390</v>
      </c>
      <c r="B6451" s="1832"/>
      <c r="D6451" s="2" t="str">
        <f t="shared" si="99"/>
        <v>OK</v>
      </c>
      <c r="E6451" s="4" t="s">
        <v>1988</v>
      </c>
    </row>
    <row r="6452" spans="1:5" x14ac:dyDescent="0.2">
      <c r="A6452" s="126">
        <v>6391</v>
      </c>
      <c r="B6452" s="1832"/>
      <c r="D6452" s="2" t="str">
        <f t="shared" si="99"/>
        <v>OK</v>
      </c>
      <c r="E6452" s="4" t="s">
        <v>1988</v>
      </c>
    </row>
    <row r="6453" spans="1:5" x14ac:dyDescent="0.2">
      <c r="A6453" s="126">
        <v>6392</v>
      </c>
      <c r="B6453" s="1832"/>
      <c r="D6453" s="2" t="str">
        <f t="shared" si="99"/>
        <v>OK</v>
      </c>
      <c r="E6453" s="4" t="s">
        <v>1988</v>
      </c>
    </row>
    <row r="6454" spans="1:5" x14ac:dyDescent="0.2">
      <c r="A6454" s="126">
        <v>6393</v>
      </c>
      <c r="B6454" s="1832"/>
      <c r="D6454" s="2" t="str">
        <f t="shared" si="99"/>
        <v>OK</v>
      </c>
      <c r="E6454" s="4" t="s">
        <v>1988</v>
      </c>
    </row>
    <row r="6455" spans="1:5" x14ac:dyDescent="0.2">
      <c r="A6455" s="126">
        <v>6394</v>
      </c>
      <c r="B6455" s="1832"/>
      <c r="D6455" s="2" t="str">
        <f t="shared" si="99"/>
        <v>OK</v>
      </c>
      <c r="E6455" s="4" t="s">
        <v>1988</v>
      </c>
    </row>
    <row r="6456" spans="1:5" x14ac:dyDescent="0.2">
      <c r="A6456" s="126">
        <v>6395</v>
      </c>
      <c r="B6456" s="1832"/>
      <c r="D6456" s="2" t="str">
        <f t="shared" si="99"/>
        <v>OK</v>
      </c>
      <c r="E6456" s="4" t="s">
        <v>1988</v>
      </c>
    </row>
    <row r="6457" spans="1:5" x14ac:dyDescent="0.2">
      <c r="A6457" s="126">
        <v>6396</v>
      </c>
      <c r="B6457" s="1832"/>
      <c r="D6457" s="2" t="str">
        <f t="shared" si="99"/>
        <v>OK</v>
      </c>
      <c r="E6457" s="4" t="s">
        <v>1988</v>
      </c>
    </row>
    <row r="6458" spans="1:5" x14ac:dyDescent="0.2">
      <c r="A6458" s="126">
        <v>6397</v>
      </c>
      <c r="B6458" s="1832"/>
      <c r="D6458" s="2" t="str">
        <f t="shared" si="99"/>
        <v>OK</v>
      </c>
      <c r="E6458" s="4" t="s">
        <v>1988</v>
      </c>
    </row>
    <row r="6459" spans="1:5" x14ac:dyDescent="0.2">
      <c r="A6459" s="126">
        <v>6398</v>
      </c>
      <c r="B6459" s="1832"/>
      <c r="D6459" s="2" t="str">
        <f t="shared" si="99"/>
        <v>OK</v>
      </c>
      <c r="E6459" s="4" t="s">
        <v>1988</v>
      </c>
    </row>
    <row r="6460" spans="1:5" x14ac:dyDescent="0.2">
      <c r="A6460" s="126">
        <v>6399</v>
      </c>
      <c r="B6460" s="1832"/>
      <c r="D6460" s="2" t="str">
        <f t="shared" si="99"/>
        <v>OK</v>
      </c>
      <c r="E6460" s="4" t="s">
        <v>1988</v>
      </c>
    </row>
    <row r="6461" spans="1:5" x14ac:dyDescent="0.2">
      <c r="A6461" s="126">
        <v>6400</v>
      </c>
      <c r="B6461" s="1832"/>
      <c r="D6461" s="2" t="str">
        <f t="shared" si="99"/>
        <v>OK</v>
      </c>
      <c r="E6461" s="4" t="s">
        <v>1988</v>
      </c>
    </row>
    <row r="6462" spans="1:5" x14ac:dyDescent="0.2">
      <c r="A6462" s="126">
        <v>6401</v>
      </c>
      <c r="B6462" s="1832"/>
      <c r="D6462" s="2" t="str">
        <f t="shared" si="99"/>
        <v>OK</v>
      </c>
      <c r="E6462" s="4" t="s">
        <v>1988</v>
      </c>
    </row>
    <row r="6463" spans="1:5" x14ac:dyDescent="0.2">
      <c r="A6463" s="126">
        <v>6402</v>
      </c>
      <c r="B6463" s="1832"/>
      <c r="D6463" s="2" t="str">
        <f t="shared" ref="D6463:D6526" si="100">IF(ISBLANK(B6463),"OK",IF(A6463-B6463=0,"OK","Error?"))</f>
        <v>OK</v>
      </c>
      <c r="E6463" s="4" t="s">
        <v>1988</v>
      </c>
    </row>
    <row r="6464" spans="1:5" x14ac:dyDescent="0.2">
      <c r="A6464" s="126">
        <v>6403</v>
      </c>
      <c r="B6464" s="1832"/>
      <c r="D6464" s="2" t="str">
        <f t="shared" si="100"/>
        <v>OK</v>
      </c>
      <c r="E6464" s="4" t="s">
        <v>1988</v>
      </c>
    </row>
    <row r="6465" spans="1:5" x14ac:dyDescent="0.2">
      <c r="A6465" s="126">
        <v>6404</v>
      </c>
      <c r="B6465" s="1832"/>
      <c r="D6465" s="2" t="str">
        <f t="shared" si="100"/>
        <v>OK</v>
      </c>
      <c r="E6465" s="4" t="s">
        <v>1988</v>
      </c>
    </row>
    <row r="6466" spans="1:5" x14ac:dyDescent="0.2">
      <c r="A6466" s="126">
        <v>6405</v>
      </c>
      <c r="B6466" s="1832"/>
      <c r="D6466" s="2" t="str">
        <f t="shared" si="100"/>
        <v>OK</v>
      </c>
      <c r="E6466" s="4" t="s">
        <v>1988</v>
      </c>
    </row>
    <row r="6467" spans="1:5" x14ac:dyDescent="0.2">
      <c r="A6467" s="126">
        <v>6406</v>
      </c>
      <c r="B6467" s="1832"/>
      <c r="D6467" s="2" t="str">
        <f t="shared" si="100"/>
        <v>OK</v>
      </c>
      <c r="E6467" s="4" t="s">
        <v>1988</v>
      </c>
    </row>
    <row r="6468" spans="1:5" x14ac:dyDescent="0.2">
      <c r="A6468" s="126">
        <v>6407</v>
      </c>
      <c r="B6468" s="1832"/>
      <c r="D6468" s="2" t="str">
        <f t="shared" si="100"/>
        <v>OK</v>
      </c>
      <c r="E6468" s="4" t="s">
        <v>1988</v>
      </c>
    </row>
    <row r="6469" spans="1:5" x14ac:dyDescent="0.2">
      <c r="A6469" s="126">
        <v>6408</v>
      </c>
      <c r="B6469" s="1832"/>
      <c r="D6469" s="2" t="str">
        <f t="shared" si="100"/>
        <v>OK</v>
      </c>
      <c r="E6469" s="4" t="s">
        <v>1988</v>
      </c>
    </row>
    <row r="6470" spans="1:5" x14ac:dyDescent="0.2">
      <c r="A6470" s="126">
        <v>6409</v>
      </c>
      <c r="B6470" s="1832"/>
      <c r="D6470" s="2" t="str">
        <f t="shared" si="100"/>
        <v>OK</v>
      </c>
      <c r="E6470" s="4" t="s">
        <v>1988</v>
      </c>
    </row>
    <row r="6471" spans="1:5" x14ac:dyDescent="0.2">
      <c r="A6471" s="126">
        <v>6410</v>
      </c>
      <c r="B6471" s="1832"/>
      <c r="D6471" s="2" t="str">
        <f t="shared" si="100"/>
        <v>OK</v>
      </c>
      <c r="E6471" s="4" t="s">
        <v>1988</v>
      </c>
    </row>
    <row r="6472" spans="1:5" x14ac:dyDescent="0.2">
      <c r="A6472" s="126">
        <v>6411</v>
      </c>
      <c r="B6472" s="1832"/>
      <c r="D6472" s="2" t="str">
        <f t="shared" si="100"/>
        <v>OK</v>
      </c>
      <c r="E6472" s="4" t="s">
        <v>1988</v>
      </c>
    </row>
    <row r="6473" spans="1:5" x14ac:dyDescent="0.2">
      <c r="A6473" s="126">
        <v>6412</v>
      </c>
      <c r="B6473" s="1832"/>
      <c r="D6473" s="2" t="str">
        <f t="shared" si="100"/>
        <v>OK</v>
      </c>
      <c r="E6473" s="4" t="s">
        <v>1988</v>
      </c>
    </row>
    <row r="6474" spans="1:5" x14ac:dyDescent="0.2">
      <c r="A6474" s="126">
        <v>6413</v>
      </c>
      <c r="B6474" s="1832"/>
      <c r="D6474" s="2" t="str">
        <f t="shared" si="100"/>
        <v>OK</v>
      </c>
      <c r="E6474" s="4" t="s">
        <v>1988</v>
      </c>
    </row>
    <row r="6475" spans="1:5" x14ac:dyDescent="0.2">
      <c r="A6475" s="126">
        <v>6414</v>
      </c>
      <c r="B6475" s="1832"/>
      <c r="D6475" s="2" t="str">
        <f t="shared" si="100"/>
        <v>OK</v>
      </c>
      <c r="E6475" s="4" t="s">
        <v>1988</v>
      </c>
    </row>
    <row r="6476" spans="1:5" x14ac:dyDescent="0.2">
      <c r="A6476" s="126">
        <v>6415</v>
      </c>
      <c r="B6476" s="1832"/>
      <c r="D6476" s="2" t="str">
        <f t="shared" si="100"/>
        <v>OK</v>
      </c>
      <c r="E6476" s="4" t="s">
        <v>1988</v>
      </c>
    </row>
    <row r="6477" spans="1:5" x14ac:dyDescent="0.2">
      <c r="A6477" s="126">
        <v>6416</v>
      </c>
      <c r="B6477" s="1832"/>
      <c r="D6477" s="2" t="str">
        <f t="shared" si="100"/>
        <v>OK</v>
      </c>
      <c r="E6477" s="4" t="s">
        <v>1988</v>
      </c>
    </row>
    <row r="6478" spans="1:5" x14ac:dyDescent="0.2">
      <c r="A6478" s="126">
        <v>6417</v>
      </c>
      <c r="B6478" s="1832"/>
      <c r="D6478" s="2" t="str">
        <f t="shared" si="100"/>
        <v>OK</v>
      </c>
      <c r="E6478" s="4" t="s">
        <v>1988</v>
      </c>
    </row>
    <row r="6479" spans="1:5" x14ac:dyDescent="0.2">
      <c r="A6479" s="126">
        <v>6418</v>
      </c>
      <c r="B6479" s="1832"/>
      <c r="D6479" s="2" t="str">
        <f t="shared" si="100"/>
        <v>OK</v>
      </c>
      <c r="E6479" s="4" t="s">
        <v>1988</v>
      </c>
    </row>
    <row r="6480" spans="1:5" x14ac:dyDescent="0.2">
      <c r="A6480" s="126">
        <v>6419</v>
      </c>
      <c r="B6480" s="1832"/>
      <c r="D6480" s="2" t="str">
        <f t="shared" si="100"/>
        <v>OK</v>
      </c>
      <c r="E6480" s="4" t="s">
        <v>1988</v>
      </c>
    </row>
    <row r="6481" spans="1:5" x14ac:dyDescent="0.2">
      <c r="A6481" s="126">
        <v>6420</v>
      </c>
      <c r="B6481" s="1832"/>
      <c r="D6481" s="2" t="str">
        <f t="shared" si="100"/>
        <v>OK</v>
      </c>
      <c r="E6481" s="4" t="s">
        <v>1988</v>
      </c>
    </row>
    <row r="6482" spans="1:5" x14ac:dyDescent="0.2">
      <c r="A6482" s="126">
        <v>6421</v>
      </c>
      <c r="B6482" s="1832"/>
      <c r="D6482" s="2" t="str">
        <f t="shared" si="100"/>
        <v>OK</v>
      </c>
      <c r="E6482" s="4" t="s">
        <v>1988</v>
      </c>
    </row>
    <row r="6483" spans="1:5" x14ac:dyDescent="0.2">
      <c r="A6483" s="126">
        <v>6422</v>
      </c>
      <c r="B6483" s="1832"/>
      <c r="D6483" s="2" t="str">
        <f t="shared" si="100"/>
        <v>OK</v>
      </c>
      <c r="E6483" s="4" t="s">
        <v>1988</v>
      </c>
    </row>
    <row r="6484" spans="1:5" x14ac:dyDescent="0.2">
      <c r="A6484" s="126">
        <v>6423</v>
      </c>
      <c r="B6484" s="1832"/>
      <c r="D6484" s="2" t="str">
        <f t="shared" si="100"/>
        <v>OK</v>
      </c>
      <c r="E6484" s="4" t="s">
        <v>1988</v>
      </c>
    </row>
    <row r="6485" spans="1:5" x14ac:dyDescent="0.2">
      <c r="A6485" s="126">
        <v>6424</v>
      </c>
      <c r="B6485" s="1832"/>
      <c r="D6485" s="2" t="str">
        <f t="shared" si="100"/>
        <v>OK</v>
      </c>
      <c r="E6485" s="4" t="s">
        <v>1988</v>
      </c>
    </row>
    <row r="6486" spans="1:5" x14ac:dyDescent="0.2">
      <c r="A6486" s="126">
        <v>6425</v>
      </c>
      <c r="B6486" s="1832"/>
      <c r="D6486" s="2" t="str">
        <f t="shared" si="100"/>
        <v>OK</v>
      </c>
      <c r="E6486" s="4" t="s">
        <v>1988</v>
      </c>
    </row>
    <row r="6487" spans="1:5" x14ac:dyDescent="0.2">
      <c r="A6487" s="126">
        <v>6426</v>
      </c>
      <c r="B6487" s="1832"/>
      <c r="D6487" s="2" t="str">
        <f t="shared" si="100"/>
        <v>OK</v>
      </c>
      <c r="E6487" s="4" t="s">
        <v>1988</v>
      </c>
    </row>
    <row r="6488" spans="1:5" x14ac:dyDescent="0.2">
      <c r="A6488" s="126">
        <v>6427</v>
      </c>
      <c r="B6488" s="1832"/>
      <c r="D6488" s="2" t="str">
        <f t="shared" si="100"/>
        <v>OK</v>
      </c>
      <c r="E6488" s="4" t="s">
        <v>1988</v>
      </c>
    </row>
    <row r="6489" spans="1:5" x14ac:dyDescent="0.2">
      <c r="A6489" s="126">
        <v>6428</v>
      </c>
      <c r="B6489" s="1832"/>
      <c r="D6489" s="2" t="str">
        <f t="shared" si="100"/>
        <v>OK</v>
      </c>
      <c r="E6489" s="4" t="s">
        <v>1988</v>
      </c>
    </row>
    <row r="6490" spans="1:5" x14ac:dyDescent="0.2">
      <c r="A6490" s="126">
        <v>6429</v>
      </c>
      <c r="B6490" s="1832"/>
      <c r="D6490" s="2" t="str">
        <f t="shared" si="100"/>
        <v>OK</v>
      </c>
      <c r="E6490" s="4" t="s">
        <v>1988</v>
      </c>
    </row>
    <row r="6491" spans="1:5" x14ac:dyDescent="0.2">
      <c r="A6491" s="126">
        <v>6430</v>
      </c>
      <c r="B6491" s="1832"/>
      <c r="D6491" s="2" t="str">
        <f t="shared" si="100"/>
        <v>OK</v>
      </c>
      <c r="E6491" s="4" t="s">
        <v>1988</v>
      </c>
    </row>
    <row r="6492" spans="1:5" x14ac:dyDescent="0.2">
      <c r="A6492" s="126">
        <v>6431</v>
      </c>
      <c r="B6492" s="1832"/>
      <c r="D6492" s="2" t="str">
        <f t="shared" si="100"/>
        <v>OK</v>
      </c>
      <c r="E6492" s="4" t="s">
        <v>1988</v>
      </c>
    </row>
    <row r="6493" spans="1:5" x14ac:dyDescent="0.2">
      <c r="A6493" s="126">
        <v>6432</v>
      </c>
      <c r="B6493" s="1832"/>
      <c r="D6493" s="2" t="str">
        <f t="shared" si="100"/>
        <v>OK</v>
      </c>
      <c r="E6493" s="4" t="s">
        <v>1988</v>
      </c>
    </row>
    <row r="6494" spans="1:5" x14ac:dyDescent="0.2">
      <c r="A6494" s="126">
        <v>6433</v>
      </c>
      <c r="B6494" s="1832"/>
      <c r="D6494" s="2" t="str">
        <f t="shared" si="100"/>
        <v>OK</v>
      </c>
      <c r="E6494" s="4" t="s">
        <v>1988</v>
      </c>
    </row>
    <row r="6495" spans="1:5" x14ac:dyDescent="0.2">
      <c r="A6495" s="126">
        <v>6434</v>
      </c>
      <c r="B6495" s="1832"/>
      <c r="D6495" s="2" t="str">
        <f t="shared" si="100"/>
        <v>OK</v>
      </c>
      <c r="E6495" s="4" t="s">
        <v>1988</v>
      </c>
    </row>
    <row r="6496" spans="1:5" x14ac:dyDescent="0.2">
      <c r="A6496" s="126">
        <v>6435</v>
      </c>
      <c r="B6496" s="1832"/>
      <c r="D6496" s="2" t="str">
        <f t="shared" si="100"/>
        <v>OK</v>
      </c>
      <c r="E6496" s="4" t="s">
        <v>1988</v>
      </c>
    </row>
    <row r="6497" spans="1:5" x14ac:dyDescent="0.2">
      <c r="A6497" s="126">
        <v>6436</v>
      </c>
      <c r="B6497" s="1832"/>
      <c r="D6497" s="2" t="str">
        <f t="shared" si="100"/>
        <v>OK</v>
      </c>
      <c r="E6497" s="4" t="s">
        <v>1988</v>
      </c>
    </row>
    <row r="6498" spans="1:5" x14ac:dyDescent="0.2">
      <c r="A6498" s="126">
        <v>6437</v>
      </c>
      <c r="B6498" s="1832"/>
      <c r="D6498" s="2" t="str">
        <f t="shared" si="100"/>
        <v>OK</v>
      </c>
      <c r="E6498" s="4" t="s">
        <v>1988</v>
      </c>
    </row>
    <row r="6499" spans="1:5" x14ac:dyDescent="0.2">
      <c r="A6499" s="126">
        <v>6438</v>
      </c>
      <c r="B6499" s="1832"/>
      <c r="D6499" s="2" t="str">
        <f t="shared" si="100"/>
        <v>OK</v>
      </c>
      <c r="E6499" s="4" t="s">
        <v>1988</v>
      </c>
    </row>
    <row r="6500" spans="1:5" x14ac:dyDescent="0.2">
      <c r="A6500" s="126">
        <v>6439</v>
      </c>
      <c r="B6500" s="1832"/>
      <c r="D6500" s="2" t="str">
        <f t="shared" si="100"/>
        <v>OK</v>
      </c>
      <c r="E6500" s="4" t="s">
        <v>1988</v>
      </c>
    </row>
    <row r="6501" spans="1:5" x14ac:dyDescent="0.2">
      <c r="A6501" s="126">
        <v>6440</v>
      </c>
      <c r="B6501" s="1832"/>
      <c r="D6501" s="2" t="str">
        <f t="shared" si="100"/>
        <v>OK</v>
      </c>
      <c r="E6501" s="4" t="s">
        <v>1988</v>
      </c>
    </row>
    <row r="6502" spans="1:5" x14ac:dyDescent="0.2">
      <c r="A6502" s="126">
        <v>6441</v>
      </c>
      <c r="B6502" s="1832"/>
      <c r="D6502" s="2" t="str">
        <f t="shared" si="100"/>
        <v>OK</v>
      </c>
      <c r="E6502" s="4" t="s">
        <v>1988</v>
      </c>
    </row>
    <row r="6503" spans="1:5" x14ac:dyDescent="0.2">
      <c r="A6503" s="126">
        <v>6442</v>
      </c>
      <c r="B6503" s="1832"/>
      <c r="D6503" s="2" t="str">
        <f t="shared" si="100"/>
        <v>OK</v>
      </c>
      <c r="E6503" s="4" t="s">
        <v>1988</v>
      </c>
    </row>
    <row r="6504" spans="1:5" x14ac:dyDescent="0.2">
      <c r="A6504" s="126">
        <v>6443</v>
      </c>
      <c r="B6504" s="1832"/>
      <c r="D6504" s="2" t="str">
        <f t="shared" si="100"/>
        <v>OK</v>
      </c>
      <c r="E6504" s="4" t="s">
        <v>1988</v>
      </c>
    </row>
    <row r="6505" spans="1:5" x14ac:dyDescent="0.2">
      <c r="A6505" s="126">
        <v>6444</v>
      </c>
      <c r="B6505" s="1832"/>
      <c r="D6505" s="2" t="str">
        <f t="shared" si="100"/>
        <v>OK</v>
      </c>
      <c r="E6505" s="4" t="s">
        <v>1988</v>
      </c>
    </row>
    <row r="6506" spans="1:5" x14ac:dyDescent="0.2">
      <c r="A6506" s="126">
        <v>6445</v>
      </c>
      <c r="B6506" s="1832"/>
      <c r="D6506" s="2" t="str">
        <f t="shared" si="100"/>
        <v>OK</v>
      </c>
      <c r="E6506" s="4" t="s">
        <v>1988</v>
      </c>
    </row>
    <row r="6507" spans="1:5" x14ac:dyDescent="0.2">
      <c r="A6507" s="126">
        <v>6446</v>
      </c>
      <c r="B6507" s="1832"/>
      <c r="D6507" s="2" t="str">
        <f t="shared" si="100"/>
        <v>OK</v>
      </c>
      <c r="E6507" s="4" t="s">
        <v>1988</v>
      </c>
    </row>
    <row r="6508" spans="1:5" x14ac:dyDescent="0.2">
      <c r="A6508" s="126">
        <v>6447</v>
      </c>
      <c r="B6508" s="1832"/>
      <c r="D6508" s="2" t="str">
        <f t="shared" si="100"/>
        <v>OK</v>
      </c>
      <c r="E6508" s="4" t="s">
        <v>1988</v>
      </c>
    </row>
    <row r="6509" spans="1:5" x14ac:dyDescent="0.2">
      <c r="A6509" s="126">
        <v>6448</v>
      </c>
      <c r="B6509" s="1832"/>
      <c r="D6509" s="2" t="str">
        <f t="shared" si="100"/>
        <v>OK</v>
      </c>
      <c r="E6509" s="4" t="s">
        <v>1988</v>
      </c>
    </row>
    <row r="6510" spans="1:5" x14ac:dyDescent="0.2">
      <c r="A6510" s="126">
        <v>6449</v>
      </c>
      <c r="B6510" s="1832"/>
      <c r="D6510" s="2" t="str">
        <f t="shared" si="100"/>
        <v>OK</v>
      </c>
      <c r="E6510" s="4" t="s">
        <v>1988</v>
      </c>
    </row>
    <row r="6511" spans="1:5" x14ac:dyDescent="0.2">
      <c r="A6511" s="126">
        <v>6450</v>
      </c>
      <c r="B6511" s="1832"/>
      <c r="D6511" s="2" t="str">
        <f t="shared" si="100"/>
        <v>OK</v>
      </c>
      <c r="E6511" s="4" t="s">
        <v>1988</v>
      </c>
    </row>
    <row r="6512" spans="1:5" x14ac:dyDescent="0.2">
      <c r="A6512" s="126">
        <v>6451</v>
      </c>
      <c r="B6512" s="1832"/>
      <c r="D6512" s="2" t="str">
        <f t="shared" si="100"/>
        <v>OK</v>
      </c>
      <c r="E6512" s="4" t="s">
        <v>1988</v>
      </c>
    </row>
    <row r="6513" spans="1:5" x14ac:dyDescent="0.2">
      <c r="A6513" s="126">
        <v>6452</v>
      </c>
      <c r="B6513" s="1832"/>
      <c r="D6513" s="2" t="str">
        <f t="shared" si="100"/>
        <v>OK</v>
      </c>
      <c r="E6513" s="4" t="s">
        <v>1988</v>
      </c>
    </row>
    <row r="6514" spans="1:5" x14ac:dyDescent="0.2">
      <c r="A6514" s="126">
        <v>6453</v>
      </c>
      <c r="B6514" s="1832"/>
      <c r="D6514" s="2" t="str">
        <f t="shared" si="100"/>
        <v>OK</v>
      </c>
      <c r="E6514" s="4" t="s">
        <v>1988</v>
      </c>
    </row>
    <row r="6515" spans="1:5" x14ac:dyDescent="0.2">
      <c r="A6515" s="126">
        <v>6454</v>
      </c>
      <c r="B6515" s="1832"/>
      <c r="D6515" s="2" t="str">
        <f t="shared" si="100"/>
        <v>OK</v>
      </c>
      <c r="E6515" s="4" t="s">
        <v>1988</v>
      </c>
    </row>
    <row r="6516" spans="1:5" x14ac:dyDescent="0.2">
      <c r="A6516" s="126">
        <v>6455</v>
      </c>
      <c r="B6516" s="1832"/>
      <c r="D6516" s="2" t="str">
        <f t="shared" si="100"/>
        <v>OK</v>
      </c>
      <c r="E6516" s="4" t="s">
        <v>1988</v>
      </c>
    </row>
    <row r="6517" spans="1:5" x14ac:dyDescent="0.2">
      <c r="A6517" s="126">
        <v>6456</v>
      </c>
      <c r="B6517" s="1832"/>
      <c r="D6517" s="2" t="str">
        <f t="shared" si="100"/>
        <v>OK</v>
      </c>
      <c r="E6517" s="4" t="s">
        <v>1988</v>
      </c>
    </row>
    <row r="6518" spans="1:5" x14ac:dyDescent="0.2">
      <c r="A6518" s="126">
        <v>6457</v>
      </c>
      <c r="B6518" s="1832"/>
      <c r="D6518" s="2" t="str">
        <f t="shared" si="100"/>
        <v>OK</v>
      </c>
      <c r="E6518" s="4" t="s">
        <v>1988</v>
      </c>
    </row>
    <row r="6519" spans="1:5" x14ac:dyDescent="0.2">
      <c r="A6519" s="126">
        <v>6458</v>
      </c>
      <c r="B6519" s="1832"/>
      <c r="D6519" s="2" t="str">
        <f t="shared" si="100"/>
        <v>OK</v>
      </c>
      <c r="E6519" s="4" t="s">
        <v>1988</v>
      </c>
    </row>
    <row r="6520" spans="1:5" x14ac:dyDescent="0.2">
      <c r="A6520" s="126">
        <v>6459</v>
      </c>
      <c r="B6520" s="1832"/>
      <c r="D6520" s="2" t="str">
        <f t="shared" si="100"/>
        <v>OK</v>
      </c>
      <c r="E6520" s="4" t="s">
        <v>1988</v>
      </c>
    </row>
    <row r="6521" spans="1:5" x14ac:dyDescent="0.2">
      <c r="A6521" s="126">
        <v>6460</v>
      </c>
      <c r="B6521" s="1832"/>
      <c r="D6521" s="2" t="str">
        <f t="shared" si="100"/>
        <v>OK</v>
      </c>
      <c r="E6521" s="4" t="s">
        <v>1988</v>
      </c>
    </row>
    <row r="6522" spans="1:5" x14ac:dyDescent="0.2">
      <c r="A6522" s="126">
        <v>6461</v>
      </c>
      <c r="B6522" s="1832"/>
      <c r="D6522" s="2" t="str">
        <f t="shared" si="100"/>
        <v>OK</v>
      </c>
      <c r="E6522" s="4" t="s">
        <v>1988</v>
      </c>
    </row>
    <row r="6523" spans="1:5" x14ac:dyDescent="0.2">
      <c r="A6523" s="126">
        <v>6462</v>
      </c>
      <c r="B6523" s="1832"/>
      <c r="D6523" s="2" t="str">
        <f t="shared" si="100"/>
        <v>OK</v>
      </c>
      <c r="E6523" s="4" t="s">
        <v>1988</v>
      </c>
    </row>
    <row r="6524" spans="1:5" x14ac:dyDescent="0.2">
      <c r="A6524" s="126">
        <v>6463</v>
      </c>
      <c r="B6524" s="1832"/>
      <c r="D6524" s="2" t="str">
        <f t="shared" si="100"/>
        <v>OK</v>
      </c>
      <c r="E6524" s="4" t="s">
        <v>1988</v>
      </c>
    </row>
    <row r="6525" spans="1:5" x14ac:dyDescent="0.2">
      <c r="A6525" s="126">
        <v>6464</v>
      </c>
      <c r="B6525" s="1832"/>
      <c r="D6525" s="2" t="str">
        <f t="shared" si="100"/>
        <v>OK</v>
      </c>
      <c r="E6525" s="4" t="s">
        <v>1988</v>
      </c>
    </row>
    <row r="6526" spans="1:5" x14ac:dyDescent="0.2">
      <c r="A6526" s="126">
        <v>6465</v>
      </c>
      <c r="B6526" s="1832"/>
      <c r="D6526" s="2" t="str">
        <f t="shared" si="100"/>
        <v>OK</v>
      </c>
      <c r="E6526" s="4" t="s">
        <v>1988</v>
      </c>
    </row>
    <row r="6527" spans="1:5" x14ac:dyDescent="0.2">
      <c r="A6527" s="126">
        <v>6466</v>
      </c>
      <c r="B6527" s="1832"/>
      <c r="D6527" s="2" t="str">
        <f t="shared" ref="D6527:D6590" si="101">IF(ISBLANK(B6527),"OK",IF(A6527-B6527=0,"OK","Error?"))</f>
        <v>OK</v>
      </c>
      <c r="E6527" s="4" t="s">
        <v>1988</v>
      </c>
    </row>
    <row r="6528" spans="1:5" x14ac:dyDescent="0.2">
      <c r="A6528" s="126">
        <v>6467</v>
      </c>
      <c r="B6528" s="1832"/>
      <c r="D6528" s="2" t="str">
        <f t="shared" si="101"/>
        <v>OK</v>
      </c>
      <c r="E6528" s="4" t="s">
        <v>1988</v>
      </c>
    </row>
    <row r="6529" spans="1:5" x14ac:dyDescent="0.2">
      <c r="A6529" s="126">
        <v>6468</v>
      </c>
      <c r="B6529" s="1832"/>
      <c r="D6529" s="2" t="str">
        <f t="shared" si="101"/>
        <v>OK</v>
      </c>
      <c r="E6529" s="4" t="s">
        <v>1988</v>
      </c>
    </row>
    <row r="6530" spans="1:5" x14ac:dyDescent="0.2">
      <c r="A6530" s="126">
        <v>6469</v>
      </c>
      <c r="B6530" s="1832"/>
      <c r="D6530" s="2" t="str">
        <f t="shared" si="101"/>
        <v>OK</v>
      </c>
      <c r="E6530" s="4" t="s">
        <v>1988</v>
      </c>
    </row>
    <row r="6531" spans="1:5" x14ac:dyDescent="0.2">
      <c r="A6531" s="126">
        <v>6470</v>
      </c>
      <c r="B6531" s="1832"/>
      <c r="D6531" s="2" t="str">
        <f t="shared" si="101"/>
        <v>OK</v>
      </c>
      <c r="E6531" s="4" t="s">
        <v>1988</v>
      </c>
    </row>
    <row r="6532" spans="1:5" x14ac:dyDescent="0.2">
      <c r="A6532" s="126">
        <v>6471</v>
      </c>
      <c r="B6532" s="1832"/>
      <c r="D6532" s="2" t="str">
        <f t="shared" si="101"/>
        <v>OK</v>
      </c>
      <c r="E6532" s="4" t="s">
        <v>1988</v>
      </c>
    </row>
    <row r="6533" spans="1:5" x14ac:dyDescent="0.2">
      <c r="A6533" s="126">
        <v>6472</v>
      </c>
      <c r="B6533" s="1832"/>
      <c r="D6533" s="2" t="str">
        <f t="shared" si="101"/>
        <v>OK</v>
      </c>
      <c r="E6533" s="4" t="s">
        <v>1988</v>
      </c>
    </row>
    <row r="6534" spans="1:5" x14ac:dyDescent="0.2">
      <c r="A6534" s="126">
        <v>6473</v>
      </c>
      <c r="B6534" s="1832"/>
      <c r="D6534" s="2" t="str">
        <f t="shared" si="101"/>
        <v>OK</v>
      </c>
      <c r="E6534" s="4" t="s">
        <v>1988</v>
      </c>
    </row>
    <row r="6535" spans="1:5" x14ac:dyDescent="0.2">
      <c r="A6535" s="126">
        <v>6474</v>
      </c>
      <c r="B6535" s="1832"/>
      <c r="D6535" s="2" t="str">
        <f t="shared" si="101"/>
        <v>OK</v>
      </c>
      <c r="E6535" s="4" t="s">
        <v>1988</v>
      </c>
    </row>
    <row r="6536" spans="1:5" x14ac:dyDescent="0.2">
      <c r="A6536" s="126">
        <v>6475</v>
      </c>
      <c r="B6536" s="1832"/>
      <c r="D6536" s="2" t="str">
        <f t="shared" si="101"/>
        <v>OK</v>
      </c>
      <c r="E6536" s="4" t="s">
        <v>1988</v>
      </c>
    </row>
    <row r="6537" spans="1:5" x14ac:dyDescent="0.2">
      <c r="A6537" s="126">
        <v>6476</v>
      </c>
      <c r="B6537" s="1832"/>
      <c r="D6537" s="2" t="str">
        <f t="shared" si="101"/>
        <v>OK</v>
      </c>
      <c r="E6537" s="4" t="s">
        <v>1988</v>
      </c>
    </row>
    <row r="6538" spans="1:5" x14ac:dyDescent="0.2">
      <c r="A6538" s="126">
        <v>6477</v>
      </c>
      <c r="B6538" s="1832"/>
      <c r="D6538" s="2" t="str">
        <f t="shared" si="101"/>
        <v>OK</v>
      </c>
      <c r="E6538" s="4" t="s">
        <v>1988</v>
      </c>
    </row>
    <row r="6539" spans="1:5" x14ac:dyDescent="0.2">
      <c r="A6539" s="126">
        <v>6478</v>
      </c>
      <c r="B6539" s="1832"/>
      <c r="D6539" s="2" t="str">
        <f t="shared" si="101"/>
        <v>OK</v>
      </c>
      <c r="E6539" s="4" t="s">
        <v>1988</v>
      </c>
    </row>
    <row r="6540" spans="1:5" x14ac:dyDescent="0.2">
      <c r="A6540" s="126">
        <v>6479</v>
      </c>
      <c r="B6540" s="1832"/>
      <c r="D6540" s="2" t="str">
        <f t="shared" si="101"/>
        <v>OK</v>
      </c>
      <c r="E6540" s="4" t="s">
        <v>1988</v>
      </c>
    </row>
    <row r="6541" spans="1:5" x14ac:dyDescent="0.2">
      <c r="A6541" s="126">
        <v>6480</v>
      </c>
      <c r="B6541" s="1832"/>
      <c r="D6541" s="2" t="str">
        <f t="shared" si="101"/>
        <v>OK</v>
      </c>
      <c r="E6541" s="4" t="s">
        <v>1988</v>
      </c>
    </row>
    <row r="6542" spans="1:5" x14ac:dyDescent="0.2">
      <c r="A6542" s="126">
        <v>6481</v>
      </c>
      <c r="B6542" s="1832"/>
      <c r="D6542" s="2" t="str">
        <f t="shared" si="101"/>
        <v>OK</v>
      </c>
      <c r="E6542" s="4" t="s">
        <v>1988</v>
      </c>
    </row>
    <row r="6543" spans="1:5" x14ac:dyDescent="0.2">
      <c r="A6543" s="126">
        <v>6482</v>
      </c>
      <c r="B6543" s="1832"/>
      <c r="D6543" s="2" t="str">
        <f t="shared" si="101"/>
        <v>OK</v>
      </c>
      <c r="E6543" s="4" t="s">
        <v>1988</v>
      </c>
    </row>
    <row r="6544" spans="1:5" x14ac:dyDescent="0.2">
      <c r="A6544" s="126">
        <v>6483</v>
      </c>
      <c r="B6544" s="1832"/>
      <c r="D6544" s="2" t="str">
        <f t="shared" si="101"/>
        <v>OK</v>
      </c>
      <c r="E6544" s="4" t="s">
        <v>1988</v>
      </c>
    </row>
    <row r="6545" spans="1:5" x14ac:dyDescent="0.2">
      <c r="A6545" s="126">
        <v>6484</v>
      </c>
      <c r="B6545" s="1832"/>
      <c r="D6545" s="2" t="str">
        <f t="shared" si="101"/>
        <v>OK</v>
      </c>
      <c r="E6545" s="4" t="s">
        <v>1988</v>
      </c>
    </row>
    <row r="6546" spans="1:5" x14ac:dyDescent="0.2">
      <c r="A6546" s="126">
        <v>6485</v>
      </c>
      <c r="B6546" s="1832"/>
      <c r="D6546" s="2" t="str">
        <f t="shared" si="101"/>
        <v>OK</v>
      </c>
      <c r="E6546" s="4" t="s">
        <v>1988</v>
      </c>
    </row>
    <row r="6547" spans="1:5" x14ac:dyDescent="0.2">
      <c r="A6547" s="126">
        <v>6486</v>
      </c>
      <c r="B6547" s="1832"/>
      <c r="D6547" s="2" t="str">
        <f t="shared" si="101"/>
        <v>OK</v>
      </c>
      <c r="E6547" s="4" t="s">
        <v>1988</v>
      </c>
    </row>
    <row r="6548" spans="1:5" x14ac:dyDescent="0.2">
      <c r="A6548" s="126">
        <v>6487</v>
      </c>
      <c r="B6548" s="1832"/>
      <c r="D6548" s="2" t="str">
        <f t="shared" si="101"/>
        <v>OK</v>
      </c>
      <c r="E6548" s="4" t="s">
        <v>1988</v>
      </c>
    </row>
    <row r="6549" spans="1:5" x14ac:dyDescent="0.2">
      <c r="A6549" s="126">
        <v>6488</v>
      </c>
      <c r="B6549" s="1832"/>
      <c r="D6549" s="2" t="str">
        <f t="shared" si="101"/>
        <v>OK</v>
      </c>
      <c r="E6549" s="4" t="s">
        <v>1988</v>
      </c>
    </row>
    <row r="6550" spans="1:5" x14ac:dyDescent="0.2">
      <c r="A6550" s="126">
        <v>6489</v>
      </c>
      <c r="B6550" s="1832"/>
      <c r="D6550" s="2" t="str">
        <f t="shared" si="101"/>
        <v>OK</v>
      </c>
      <c r="E6550" s="4" t="s">
        <v>1988</v>
      </c>
    </row>
    <row r="6551" spans="1:5" x14ac:dyDescent="0.2">
      <c r="A6551" s="126">
        <v>6490</v>
      </c>
      <c r="B6551" s="1832"/>
      <c r="D6551" s="2" t="str">
        <f t="shared" si="101"/>
        <v>OK</v>
      </c>
      <c r="E6551" s="4" t="s">
        <v>1988</v>
      </c>
    </row>
    <row r="6552" spans="1:5" x14ac:dyDescent="0.2">
      <c r="A6552" s="126">
        <v>6491</v>
      </c>
      <c r="B6552" s="1832"/>
      <c r="D6552" s="2" t="str">
        <f t="shared" si="101"/>
        <v>OK</v>
      </c>
      <c r="E6552" s="4" t="s">
        <v>1988</v>
      </c>
    </row>
    <row r="6553" spans="1:5" x14ac:dyDescent="0.2">
      <c r="A6553" s="126">
        <v>6492</v>
      </c>
      <c r="B6553" s="1832"/>
      <c r="D6553" s="2" t="str">
        <f t="shared" si="101"/>
        <v>OK</v>
      </c>
      <c r="E6553" s="4" t="s">
        <v>1988</v>
      </c>
    </row>
    <row r="6554" spans="1:5" x14ac:dyDescent="0.2">
      <c r="A6554" s="126">
        <v>6493</v>
      </c>
      <c r="B6554" s="1832"/>
      <c r="D6554" s="2" t="str">
        <f t="shared" si="101"/>
        <v>OK</v>
      </c>
      <c r="E6554" s="4" t="s">
        <v>1988</v>
      </c>
    </row>
    <row r="6555" spans="1:5" x14ac:dyDescent="0.2">
      <c r="A6555" s="126">
        <v>6494</v>
      </c>
      <c r="B6555" s="1832"/>
      <c r="D6555" s="2" t="str">
        <f t="shared" si="101"/>
        <v>OK</v>
      </c>
      <c r="E6555" s="4" t="s">
        <v>1988</v>
      </c>
    </row>
    <row r="6556" spans="1:5" x14ac:dyDescent="0.2">
      <c r="A6556" s="126">
        <v>6495</v>
      </c>
      <c r="B6556" s="1832"/>
      <c r="D6556" s="2" t="str">
        <f t="shared" si="101"/>
        <v>OK</v>
      </c>
      <c r="E6556" s="4" t="s">
        <v>1988</v>
      </c>
    </row>
    <row r="6557" spans="1:5" x14ac:dyDescent="0.2">
      <c r="A6557" s="126">
        <v>6496</v>
      </c>
      <c r="B6557" s="1832"/>
      <c r="D6557" s="2" t="str">
        <f t="shared" si="101"/>
        <v>OK</v>
      </c>
      <c r="E6557" s="4" t="s">
        <v>1988</v>
      </c>
    </row>
    <row r="6558" spans="1:5" x14ac:dyDescent="0.2">
      <c r="A6558" s="126">
        <v>6497</v>
      </c>
      <c r="B6558" s="1832"/>
      <c r="D6558" s="2" t="str">
        <f t="shared" si="101"/>
        <v>OK</v>
      </c>
      <c r="E6558" s="4" t="s">
        <v>1988</v>
      </c>
    </row>
    <row r="6559" spans="1:5" x14ac:dyDescent="0.2">
      <c r="A6559" s="126">
        <v>6498</v>
      </c>
      <c r="B6559" s="1832"/>
      <c r="D6559" s="2" t="str">
        <f t="shared" si="101"/>
        <v>OK</v>
      </c>
      <c r="E6559" s="4" t="s">
        <v>1988</v>
      </c>
    </row>
    <row r="6560" spans="1:5" x14ac:dyDescent="0.2">
      <c r="A6560" s="126">
        <v>6499</v>
      </c>
      <c r="B6560" s="1832"/>
      <c r="D6560" s="2" t="str">
        <f t="shared" si="101"/>
        <v>OK</v>
      </c>
      <c r="E6560" s="4" t="s">
        <v>1988</v>
      </c>
    </row>
    <row r="6561" spans="1:5" x14ac:dyDescent="0.2">
      <c r="A6561" s="126">
        <v>6500</v>
      </c>
      <c r="B6561" s="1832"/>
      <c r="D6561" s="2" t="str">
        <f t="shared" si="101"/>
        <v>OK</v>
      </c>
      <c r="E6561" s="4" t="s">
        <v>1988</v>
      </c>
    </row>
    <row r="6562" spans="1:5" x14ac:dyDescent="0.2">
      <c r="A6562" s="126">
        <v>6501</v>
      </c>
      <c r="B6562" s="1832"/>
      <c r="D6562" s="2" t="str">
        <f t="shared" si="101"/>
        <v>OK</v>
      </c>
      <c r="E6562" s="4" t="s">
        <v>1988</v>
      </c>
    </row>
    <row r="6563" spans="1:5" x14ac:dyDescent="0.2">
      <c r="A6563" s="126">
        <v>6502</v>
      </c>
      <c r="B6563" s="1832"/>
      <c r="D6563" s="2" t="str">
        <f t="shared" si="101"/>
        <v>OK</v>
      </c>
      <c r="E6563" s="4" t="s">
        <v>1988</v>
      </c>
    </row>
    <row r="6564" spans="1:5" x14ac:dyDescent="0.2">
      <c r="A6564" s="126">
        <v>6503</v>
      </c>
      <c r="B6564" s="1832"/>
      <c r="D6564" s="2" t="str">
        <f t="shared" si="101"/>
        <v>OK</v>
      </c>
      <c r="E6564" s="4" t="s">
        <v>1988</v>
      </c>
    </row>
    <row r="6565" spans="1:5" x14ac:dyDescent="0.2">
      <c r="A6565" s="126">
        <v>6504</v>
      </c>
      <c r="B6565" s="1832"/>
      <c r="D6565" s="2" t="str">
        <f t="shared" si="101"/>
        <v>OK</v>
      </c>
      <c r="E6565" s="4" t="s">
        <v>1988</v>
      </c>
    </row>
    <row r="6566" spans="1:5" x14ac:dyDescent="0.2">
      <c r="A6566" s="126">
        <v>6505</v>
      </c>
      <c r="B6566" s="1832"/>
      <c r="D6566" s="2" t="str">
        <f t="shared" si="101"/>
        <v>OK</v>
      </c>
      <c r="E6566" s="4" t="s">
        <v>1988</v>
      </c>
    </row>
    <row r="6567" spans="1:5" x14ac:dyDescent="0.2">
      <c r="A6567" s="126">
        <v>6506</v>
      </c>
      <c r="B6567" s="1832"/>
      <c r="D6567" s="2" t="str">
        <f t="shared" si="101"/>
        <v>OK</v>
      </c>
      <c r="E6567" s="4" t="s">
        <v>1988</v>
      </c>
    </row>
    <row r="6568" spans="1:5" x14ac:dyDescent="0.2">
      <c r="A6568" s="126">
        <v>6507</v>
      </c>
      <c r="B6568" s="1832"/>
      <c r="D6568" s="2" t="str">
        <f t="shared" si="101"/>
        <v>OK</v>
      </c>
      <c r="E6568" s="4" t="s">
        <v>1988</v>
      </c>
    </row>
    <row r="6569" spans="1:5" x14ac:dyDescent="0.2">
      <c r="A6569" s="126">
        <v>6508</v>
      </c>
      <c r="B6569" s="1832"/>
      <c r="D6569" s="2" t="str">
        <f t="shared" si="101"/>
        <v>OK</v>
      </c>
      <c r="E6569" s="4" t="s">
        <v>1988</v>
      </c>
    </row>
    <row r="6570" spans="1:5" x14ac:dyDescent="0.2">
      <c r="A6570" s="126">
        <v>6509</v>
      </c>
      <c r="B6570" s="1832"/>
      <c r="D6570" s="2" t="str">
        <f t="shared" si="101"/>
        <v>OK</v>
      </c>
      <c r="E6570" s="4" t="s">
        <v>1988</v>
      </c>
    </row>
    <row r="6571" spans="1:5" x14ac:dyDescent="0.2">
      <c r="A6571" s="126">
        <v>6510</v>
      </c>
      <c r="B6571" s="1832"/>
      <c r="D6571" s="2" t="str">
        <f t="shared" si="101"/>
        <v>OK</v>
      </c>
      <c r="E6571" s="4" t="s">
        <v>1988</v>
      </c>
    </row>
    <row r="6572" spans="1:5" x14ac:dyDescent="0.2">
      <c r="A6572" s="126">
        <v>6511</v>
      </c>
      <c r="B6572" s="1832"/>
      <c r="D6572" s="2" t="str">
        <f t="shared" si="101"/>
        <v>OK</v>
      </c>
      <c r="E6572" s="4" t="s">
        <v>1988</v>
      </c>
    </row>
    <row r="6573" spans="1:5" x14ac:dyDescent="0.2">
      <c r="A6573" s="126">
        <v>6512</v>
      </c>
      <c r="B6573" s="1832"/>
      <c r="D6573" s="2" t="str">
        <f t="shared" si="101"/>
        <v>OK</v>
      </c>
      <c r="E6573" s="4" t="s">
        <v>1988</v>
      </c>
    </row>
    <row r="6574" spans="1:5" x14ac:dyDescent="0.2">
      <c r="A6574" s="126">
        <v>6513</v>
      </c>
      <c r="B6574" s="1832"/>
      <c r="D6574" s="2" t="str">
        <f t="shared" si="101"/>
        <v>OK</v>
      </c>
      <c r="E6574" s="4" t="s">
        <v>1988</v>
      </c>
    </row>
    <row r="6575" spans="1:5" x14ac:dyDescent="0.2">
      <c r="A6575" s="126">
        <v>6514</v>
      </c>
      <c r="B6575" s="1832"/>
      <c r="D6575" s="2" t="str">
        <f t="shared" si="101"/>
        <v>OK</v>
      </c>
      <c r="E6575" s="4" t="s">
        <v>1988</v>
      </c>
    </row>
    <row r="6576" spans="1:5" x14ac:dyDescent="0.2">
      <c r="A6576" s="126">
        <v>6515</v>
      </c>
      <c r="B6576" s="1832"/>
      <c r="D6576" s="2" t="str">
        <f t="shared" si="101"/>
        <v>OK</v>
      </c>
      <c r="E6576" s="4" t="s">
        <v>1988</v>
      </c>
    </row>
    <row r="6577" spans="1:5" x14ac:dyDescent="0.2">
      <c r="A6577" s="126">
        <v>6516</v>
      </c>
      <c r="B6577" s="1832"/>
      <c r="D6577" s="2" t="str">
        <f t="shared" si="101"/>
        <v>OK</v>
      </c>
      <c r="E6577" s="4" t="s">
        <v>1988</v>
      </c>
    </row>
    <row r="6578" spans="1:5" x14ac:dyDescent="0.2">
      <c r="A6578" s="126">
        <v>6517</v>
      </c>
      <c r="B6578" s="1832"/>
      <c r="D6578" s="2" t="str">
        <f t="shared" si="101"/>
        <v>OK</v>
      </c>
      <c r="E6578" s="4" t="s">
        <v>1988</v>
      </c>
    </row>
    <row r="6579" spans="1:5" x14ac:dyDescent="0.2">
      <c r="A6579" s="126">
        <v>6518</v>
      </c>
      <c r="B6579" s="1832"/>
      <c r="D6579" s="2" t="str">
        <f t="shared" si="101"/>
        <v>OK</v>
      </c>
      <c r="E6579" s="4" t="s">
        <v>1988</v>
      </c>
    </row>
    <row r="6580" spans="1:5" x14ac:dyDescent="0.2">
      <c r="A6580" s="126">
        <v>6519</v>
      </c>
      <c r="B6580" s="1832"/>
      <c r="D6580" s="2" t="str">
        <f t="shared" si="101"/>
        <v>OK</v>
      </c>
      <c r="E6580" s="4" t="s">
        <v>1988</v>
      </c>
    </row>
    <row r="6581" spans="1:5" x14ac:dyDescent="0.2">
      <c r="A6581" s="126">
        <v>6520</v>
      </c>
      <c r="B6581" s="1832"/>
      <c r="D6581" s="2" t="str">
        <f t="shared" si="101"/>
        <v>OK</v>
      </c>
      <c r="E6581" s="4" t="s">
        <v>1988</v>
      </c>
    </row>
    <row r="6582" spans="1:5" x14ac:dyDescent="0.2">
      <c r="A6582" s="126">
        <v>6521</v>
      </c>
      <c r="B6582" s="1832"/>
      <c r="D6582" s="2" t="str">
        <f t="shared" si="101"/>
        <v>OK</v>
      </c>
      <c r="E6582" s="4" t="s">
        <v>1988</v>
      </c>
    </row>
    <row r="6583" spans="1:5" x14ac:dyDescent="0.2">
      <c r="A6583" s="126">
        <v>6522</v>
      </c>
      <c r="B6583" s="1832"/>
      <c r="D6583" s="2" t="str">
        <f t="shared" si="101"/>
        <v>OK</v>
      </c>
      <c r="E6583" s="4" t="s">
        <v>1988</v>
      </c>
    </row>
    <row r="6584" spans="1:5" x14ac:dyDescent="0.2">
      <c r="A6584" s="126">
        <v>6523</v>
      </c>
      <c r="B6584" s="1832"/>
      <c r="D6584" s="2" t="str">
        <f t="shared" si="101"/>
        <v>OK</v>
      </c>
      <c r="E6584" s="4" t="s">
        <v>1988</v>
      </c>
    </row>
    <row r="6585" spans="1:5" x14ac:dyDescent="0.2">
      <c r="A6585" s="126">
        <v>6524</v>
      </c>
      <c r="B6585" s="1832"/>
      <c r="D6585" s="2" t="str">
        <f t="shared" si="101"/>
        <v>OK</v>
      </c>
      <c r="E6585" s="4" t="s">
        <v>1988</v>
      </c>
    </row>
    <row r="6586" spans="1:5" x14ac:dyDescent="0.2">
      <c r="A6586" s="126">
        <v>6525</v>
      </c>
      <c r="B6586" s="1832"/>
      <c r="D6586" s="2" t="str">
        <f t="shared" si="101"/>
        <v>OK</v>
      </c>
      <c r="E6586" s="4" t="s">
        <v>1988</v>
      </c>
    </row>
    <row r="6587" spans="1:5" x14ac:dyDescent="0.2">
      <c r="A6587" s="126">
        <v>6526</v>
      </c>
      <c r="B6587" s="1832"/>
      <c r="D6587" s="2" t="str">
        <f t="shared" si="101"/>
        <v>OK</v>
      </c>
      <c r="E6587" s="4" t="s">
        <v>1988</v>
      </c>
    </row>
    <row r="6588" spans="1:5" x14ac:dyDescent="0.2">
      <c r="A6588" s="126">
        <v>6527</v>
      </c>
      <c r="B6588" s="1832"/>
      <c r="D6588" s="2" t="str">
        <f t="shared" si="101"/>
        <v>OK</v>
      </c>
      <c r="E6588" s="4" t="s">
        <v>1988</v>
      </c>
    </row>
    <row r="6589" spans="1:5" x14ac:dyDescent="0.2">
      <c r="A6589" s="126">
        <v>6528</v>
      </c>
      <c r="B6589" s="1832"/>
      <c r="D6589" s="2" t="str">
        <f t="shared" si="101"/>
        <v>OK</v>
      </c>
      <c r="E6589" s="4" t="s">
        <v>1988</v>
      </c>
    </row>
    <row r="6590" spans="1:5" x14ac:dyDescent="0.2">
      <c r="A6590" s="126">
        <v>6529</v>
      </c>
      <c r="B6590" s="1832"/>
      <c r="D6590" s="2" t="str">
        <f t="shared" si="101"/>
        <v>OK</v>
      </c>
      <c r="E6590" s="4" t="s">
        <v>1988</v>
      </c>
    </row>
    <row r="6591" spans="1:5" x14ac:dyDescent="0.2">
      <c r="A6591" s="126">
        <v>6530</v>
      </c>
      <c r="B6591" s="1832"/>
      <c r="D6591" s="2" t="str">
        <f t="shared" ref="D6591:D6654" si="102">IF(ISBLANK(B6591),"OK",IF(A6591-B6591=0,"OK","Error?"))</f>
        <v>OK</v>
      </c>
      <c r="E6591" s="4" t="s">
        <v>1988</v>
      </c>
    </row>
    <row r="6592" spans="1:5" x14ac:dyDescent="0.2">
      <c r="A6592" s="126">
        <v>6531</v>
      </c>
      <c r="B6592" s="1832"/>
      <c r="D6592" s="2" t="str">
        <f t="shared" si="102"/>
        <v>OK</v>
      </c>
      <c r="E6592" s="4" t="s">
        <v>1988</v>
      </c>
    </row>
    <row r="6593" spans="1:5" x14ac:dyDescent="0.2">
      <c r="A6593" s="126">
        <v>6532</v>
      </c>
      <c r="B6593" s="1832"/>
      <c r="D6593" s="2" t="str">
        <f t="shared" si="102"/>
        <v>OK</v>
      </c>
      <c r="E6593" s="4" t="s">
        <v>1988</v>
      </c>
    </row>
    <row r="6594" spans="1:5" x14ac:dyDescent="0.2">
      <c r="A6594" s="126">
        <v>6533</v>
      </c>
      <c r="B6594" s="1832"/>
      <c r="D6594" s="2" t="str">
        <f t="shared" si="102"/>
        <v>OK</v>
      </c>
      <c r="E6594" s="4" t="s">
        <v>1988</v>
      </c>
    </row>
    <row r="6595" spans="1:5" x14ac:dyDescent="0.2">
      <c r="A6595" s="126">
        <v>6534</v>
      </c>
      <c r="B6595" s="1832"/>
      <c r="D6595" s="2" t="str">
        <f t="shared" si="102"/>
        <v>OK</v>
      </c>
      <c r="E6595" s="4" t="s">
        <v>1988</v>
      </c>
    </row>
    <row r="6596" spans="1:5" x14ac:dyDescent="0.2">
      <c r="A6596" s="126">
        <v>6535</v>
      </c>
      <c r="B6596" s="1832"/>
      <c r="D6596" s="2" t="str">
        <f t="shared" si="102"/>
        <v>OK</v>
      </c>
      <c r="E6596" s="4" t="s">
        <v>1988</v>
      </c>
    </row>
    <row r="6597" spans="1:5" x14ac:dyDescent="0.2">
      <c r="A6597" s="126">
        <v>6536</v>
      </c>
      <c r="B6597" s="1832"/>
      <c r="D6597" s="2" t="str">
        <f t="shared" si="102"/>
        <v>OK</v>
      </c>
      <c r="E6597" s="4" t="s">
        <v>1988</v>
      </c>
    </row>
    <row r="6598" spans="1:5" x14ac:dyDescent="0.2">
      <c r="A6598" s="126">
        <v>6537</v>
      </c>
      <c r="B6598" s="1832"/>
      <c r="D6598" s="2" t="str">
        <f t="shared" si="102"/>
        <v>OK</v>
      </c>
      <c r="E6598" s="4" t="s">
        <v>1988</v>
      </c>
    </row>
    <row r="6599" spans="1:5" x14ac:dyDescent="0.2">
      <c r="A6599" s="126">
        <v>6538</v>
      </c>
      <c r="B6599" s="1832"/>
      <c r="D6599" s="2" t="str">
        <f t="shared" si="102"/>
        <v>OK</v>
      </c>
      <c r="E6599" s="4" t="s">
        <v>1988</v>
      </c>
    </row>
    <row r="6600" spans="1:5" x14ac:dyDescent="0.2">
      <c r="A6600" s="126">
        <v>6539</v>
      </c>
      <c r="B6600" s="1832"/>
      <c r="D6600" s="2" t="str">
        <f t="shared" si="102"/>
        <v>OK</v>
      </c>
      <c r="E6600" s="4" t="s">
        <v>1988</v>
      </c>
    </row>
    <row r="6601" spans="1:5" x14ac:dyDescent="0.2">
      <c r="A6601" s="126">
        <v>6540</v>
      </c>
      <c r="B6601" s="1832"/>
      <c r="D6601" s="2" t="str">
        <f t="shared" si="102"/>
        <v>OK</v>
      </c>
      <c r="E6601" s="4" t="s">
        <v>1988</v>
      </c>
    </row>
    <row r="6602" spans="1:5" x14ac:dyDescent="0.2">
      <c r="A6602" s="126">
        <v>6541</v>
      </c>
      <c r="B6602" s="1832"/>
      <c r="D6602" s="2" t="str">
        <f t="shared" si="102"/>
        <v>OK</v>
      </c>
      <c r="E6602" s="4" t="s">
        <v>1988</v>
      </c>
    </row>
    <row r="6603" spans="1:5" x14ac:dyDescent="0.2">
      <c r="A6603" s="126">
        <v>6542</v>
      </c>
      <c r="B6603" s="1832"/>
      <c r="D6603" s="2" t="str">
        <f t="shared" si="102"/>
        <v>OK</v>
      </c>
      <c r="E6603" s="4" t="s">
        <v>1988</v>
      </c>
    </row>
    <row r="6604" spans="1:5" x14ac:dyDescent="0.2">
      <c r="A6604" s="126">
        <v>6543</v>
      </c>
      <c r="B6604" s="1832"/>
      <c r="D6604" s="2" t="str">
        <f t="shared" si="102"/>
        <v>OK</v>
      </c>
      <c r="E6604" s="4" t="s">
        <v>1988</v>
      </c>
    </row>
    <row r="6605" spans="1:5" x14ac:dyDescent="0.2">
      <c r="A6605" s="126">
        <v>6544</v>
      </c>
      <c r="B6605" s="1832"/>
      <c r="D6605" s="2" t="str">
        <f t="shared" si="102"/>
        <v>OK</v>
      </c>
      <c r="E6605" s="4" t="s">
        <v>1988</v>
      </c>
    </row>
    <row r="6606" spans="1:5" x14ac:dyDescent="0.2">
      <c r="A6606" s="126">
        <v>6545</v>
      </c>
      <c r="B6606" s="1832"/>
      <c r="D6606" s="2" t="str">
        <f t="shared" si="102"/>
        <v>OK</v>
      </c>
      <c r="E6606" s="4" t="s">
        <v>1988</v>
      </c>
    </row>
    <row r="6607" spans="1:5" x14ac:dyDescent="0.2">
      <c r="A6607" s="126">
        <v>6546</v>
      </c>
      <c r="B6607" s="1832"/>
      <c r="D6607" s="2" t="str">
        <f t="shared" si="102"/>
        <v>OK</v>
      </c>
      <c r="E6607" s="4" t="s">
        <v>1988</v>
      </c>
    </row>
    <row r="6608" spans="1:5" x14ac:dyDescent="0.2">
      <c r="A6608" s="126">
        <v>6547</v>
      </c>
      <c r="B6608" s="1832"/>
      <c r="D6608" s="2" t="str">
        <f t="shared" si="102"/>
        <v>OK</v>
      </c>
      <c r="E6608" s="4" t="s">
        <v>1988</v>
      </c>
    </row>
    <row r="6609" spans="1:5" x14ac:dyDescent="0.2">
      <c r="A6609" s="126">
        <v>6548</v>
      </c>
      <c r="B6609" s="1832"/>
      <c r="D6609" s="2" t="str">
        <f t="shared" si="102"/>
        <v>OK</v>
      </c>
      <c r="E6609" s="4" t="s">
        <v>1988</v>
      </c>
    </row>
    <row r="6610" spans="1:5" x14ac:dyDescent="0.2">
      <c r="A6610" s="126">
        <v>6549</v>
      </c>
      <c r="B6610" s="1832"/>
      <c r="D6610" s="2" t="str">
        <f t="shared" si="102"/>
        <v>OK</v>
      </c>
      <c r="E6610" s="4" t="s">
        <v>1988</v>
      </c>
    </row>
    <row r="6611" spans="1:5" x14ac:dyDescent="0.2">
      <c r="A6611" s="126">
        <v>6550</v>
      </c>
      <c r="B6611" s="1832"/>
      <c r="D6611" s="2" t="str">
        <f t="shared" si="102"/>
        <v>OK</v>
      </c>
      <c r="E6611" s="4" t="s">
        <v>1988</v>
      </c>
    </row>
    <row r="6612" spans="1:5" x14ac:dyDescent="0.2">
      <c r="A6612" s="126">
        <v>6551</v>
      </c>
      <c r="B6612" s="1832"/>
      <c r="D6612" s="2" t="str">
        <f t="shared" si="102"/>
        <v>OK</v>
      </c>
      <c r="E6612" s="4" t="s">
        <v>1988</v>
      </c>
    </row>
    <row r="6613" spans="1:5" x14ac:dyDescent="0.2">
      <c r="A6613" s="126">
        <v>6552</v>
      </c>
      <c r="B6613" s="1832"/>
      <c r="D6613" s="2" t="str">
        <f t="shared" si="102"/>
        <v>OK</v>
      </c>
      <c r="E6613" s="4" t="s">
        <v>1988</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1892</v>
      </c>
    </row>
    <row r="6842" spans="1:5" x14ac:dyDescent="0.2">
      <c r="A6842" s="126">
        <v>6781</v>
      </c>
      <c r="B6842" s="1832"/>
      <c r="D6842" s="2" t="str">
        <f t="shared" si="105"/>
        <v>OK</v>
      </c>
      <c r="E6842" s="1" t="s">
        <v>1892</v>
      </c>
    </row>
    <row r="6843" spans="1:5" x14ac:dyDescent="0.2">
      <c r="A6843" s="126">
        <v>6782</v>
      </c>
      <c r="B6843" s="1832"/>
      <c r="D6843" s="2" t="str">
        <f t="shared" si="105"/>
        <v>OK</v>
      </c>
      <c r="E6843" s="1" t="s">
        <v>1892</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432284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2121404</v>
      </c>
      <c r="D6880" s="2" t="str">
        <f t="shared" si="106"/>
        <v>Error?</v>
      </c>
    </row>
    <row r="6881" spans="1:4" x14ac:dyDescent="0.2">
      <c r="A6881">
        <v>6820</v>
      </c>
      <c r="B6881" s="1832">
        <f>'Expenditures 15-22'!K22</f>
        <v>2121404</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370333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17681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5583</v>
      </c>
      <c r="D7079" s="2" t="str">
        <f t="shared" si="109"/>
        <v>Error?</v>
      </c>
    </row>
    <row r="7080" spans="1:4" x14ac:dyDescent="0.2">
      <c r="A7080">
        <v>7019</v>
      </c>
      <c r="B7080" s="1832">
        <f>'Expenditures 15-22'!K226</f>
        <v>5583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164976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164976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4999</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4999</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120358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120358</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370333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370333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370333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370333</v>
      </c>
      <c r="D7224" s="2" t="str">
        <f t="shared" si="111"/>
        <v>Error?</v>
      </c>
    </row>
    <row r="7225" spans="1:4" x14ac:dyDescent="0.2">
      <c r="A7225">
        <v>7164</v>
      </c>
      <c r="B7225" s="1832">
        <f>'Expenditures 15-22'!K343</f>
        <v>-352652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377714</v>
      </c>
      <c r="D7263" s="2" t="str">
        <f t="shared" si="112"/>
        <v>Error?</v>
      </c>
    </row>
    <row r="7264" spans="1:4" x14ac:dyDescent="0.2">
      <c r="A7264">
        <f t="shared" si="113"/>
        <v>7203</v>
      </c>
      <c r="B7264" s="1832">
        <f>'Expenditures 15-22'!D17</f>
        <v>53514</v>
      </c>
      <c r="D7264" s="2" t="str">
        <f t="shared" si="112"/>
        <v>Error?</v>
      </c>
    </row>
    <row r="7265" spans="1:5" x14ac:dyDescent="0.2">
      <c r="A7265">
        <f t="shared" si="113"/>
        <v>7204</v>
      </c>
      <c r="B7265" s="1832">
        <f>'Expenditures 15-22'!E17</f>
        <v>419</v>
      </c>
      <c r="D7265" s="2" t="str">
        <f t="shared" si="112"/>
        <v>Error?</v>
      </c>
    </row>
    <row r="7266" spans="1:5" x14ac:dyDescent="0.2">
      <c r="A7266">
        <f t="shared" si="113"/>
        <v>7205</v>
      </c>
      <c r="B7266" s="1832">
        <f>'Expenditures 15-22'!F17</f>
        <v>437</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200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8204101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1989</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1989</v>
      </c>
    </row>
    <row r="7641" spans="1:6" x14ac:dyDescent="0.2">
      <c r="A7641" s="126">
        <f t="shared" si="125"/>
        <v>7580</v>
      </c>
      <c r="B7641" s="1833"/>
      <c r="D7641" s="2" t="str">
        <f t="shared" si="124"/>
        <v>OK</v>
      </c>
      <c r="E7641" s="4" t="s">
        <v>1989</v>
      </c>
    </row>
    <row r="7642" spans="1:6" x14ac:dyDescent="0.2">
      <c r="A7642" s="126">
        <f t="shared" si="125"/>
        <v>7581</v>
      </c>
      <c r="B7642" s="1833"/>
      <c r="D7642" s="2" t="str">
        <f t="shared" si="124"/>
        <v>OK</v>
      </c>
      <c r="E7642" s="4" t="s">
        <v>1989</v>
      </c>
    </row>
    <row r="7643" spans="1:6" x14ac:dyDescent="0.2">
      <c r="A7643" s="126">
        <f t="shared" si="125"/>
        <v>7582</v>
      </c>
      <c r="B7643" s="1833"/>
      <c r="D7643" s="2" t="str">
        <f t="shared" si="124"/>
        <v>OK</v>
      </c>
      <c r="E7643" s="4" t="s">
        <v>1989</v>
      </c>
    </row>
    <row r="7644" spans="1:6" x14ac:dyDescent="0.2">
      <c r="A7644" s="126">
        <f t="shared" si="125"/>
        <v>7583</v>
      </c>
      <c r="B7644" s="1833"/>
      <c r="D7644" s="2" t="str">
        <f t="shared" si="124"/>
        <v>OK</v>
      </c>
      <c r="E7644" s="4" t="s">
        <v>1989</v>
      </c>
    </row>
    <row r="7645" spans="1:6" x14ac:dyDescent="0.2">
      <c r="A7645" s="126">
        <f t="shared" si="125"/>
        <v>7584</v>
      </c>
      <c r="B7645" s="1833"/>
      <c r="D7645" s="2" t="str">
        <f t="shared" si="124"/>
        <v>OK</v>
      </c>
      <c r="E7645" s="4" t="s">
        <v>1989</v>
      </c>
    </row>
    <row r="7646" spans="1:6" x14ac:dyDescent="0.2">
      <c r="A7646" s="126">
        <f t="shared" si="125"/>
        <v>7585</v>
      </c>
      <c r="B7646" s="1833"/>
      <c r="D7646" s="2" t="str">
        <f t="shared" si="124"/>
        <v>OK</v>
      </c>
      <c r="E7646" s="4" t="s">
        <v>1989</v>
      </c>
    </row>
    <row r="7647" spans="1:6" x14ac:dyDescent="0.2">
      <c r="A7647" s="126">
        <f t="shared" si="125"/>
        <v>7586</v>
      </c>
      <c r="B7647" s="1833"/>
      <c r="D7647" s="2" t="str">
        <f t="shared" si="124"/>
        <v>OK</v>
      </c>
      <c r="E7647" s="4" t="s">
        <v>1989</v>
      </c>
    </row>
    <row r="7648" spans="1:6" x14ac:dyDescent="0.2">
      <c r="A7648" s="126">
        <f t="shared" si="125"/>
        <v>7587</v>
      </c>
      <c r="B7648" s="1833"/>
      <c r="D7648" s="2" t="str">
        <f t="shared" si="124"/>
        <v>OK</v>
      </c>
      <c r="E7648" s="4" t="s">
        <v>1989</v>
      </c>
    </row>
    <row r="7649" spans="1:5" x14ac:dyDescent="0.2">
      <c r="A7649" s="126">
        <f t="shared" si="125"/>
        <v>7588</v>
      </c>
      <c r="B7649" s="1833"/>
      <c r="D7649" s="2" t="str">
        <f t="shared" si="124"/>
        <v>OK</v>
      </c>
      <c r="E7649" s="4" t="s">
        <v>1989</v>
      </c>
    </row>
    <row r="7650" spans="1:5" x14ac:dyDescent="0.2">
      <c r="A7650" s="126">
        <f t="shared" si="125"/>
        <v>7589</v>
      </c>
      <c r="B7650" s="1833"/>
      <c r="D7650" s="2" t="str">
        <f t="shared" si="124"/>
        <v>OK</v>
      </c>
      <c r="E7650" s="4" t="s">
        <v>1989</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105643</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6861</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60000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60000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20000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20000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0</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0</v>
      </c>
      <c r="D7712" s="2" t="str">
        <f t="shared" si="126"/>
        <v>Error?</v>
      </c>
      <c r="E7712" s="2" t="s">
        <v>821</v>
      </c>
    </row>
    <row r="7713" spans="1:6" x14ac:dyDescent="0.2">
      <c r="A7713">
        <v>7652</v>
      </c>
      <c r="B7713" s="1832">
        <f>'Rest Tax Levies-Tort Im 25'!J8</f>
        <v>0</v>
      </c>
      <c r="D7713" s="2" t="str">
        <f t="shared" si="126"/>
        <v>Error?</v>
      </c>
      <c r="E7713" s="2" t="s">
        <v>821</v>
      </c>
    </row>
    <row r="7714" spans="1:6" x14ac:dyDescent="0.2">
      <c r="A7714">
        <v>7653</v>
      </c>
      <c r="B7714" s="1832">
        <f>'Rest Tax Levies-Tort Im 25'!K9</f>
        <v>0</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0</v>
      </c>
      <c r="D7718" s="2" t="str">
        <f t="shared" si="126"/>
        <v>Error?</v>
      </c>
      <c r="E7718" s="2" t="s">
        <v>821</v>
      </c>
    </row>
    <row r="7719" spans="1:6" x14ac:dyDescent="0.2">
      <c r="A7719">
        <v>7658</v>
      </c>
      <c r="B7719" s="1832">
        <f>'Rest Tax Levies-Tort Im 25'!K12</f>
        <v>0</v>
      </c>
      <c r="D7719" s="2" t="str">
        <f t="shared" si="126"/>
        <v>Error?</v>
      </c>
      <c r="E7719" s="2" t="s">
        <v>821</v>
      </c>
    </row>
    <row r="7720" spans="1:6" x14ac:dyDescent="0.2">
      <c r="A7720">
        <v>7659</v>
      </c>
      <c r="B7720" s="1832">
        <f>'Rest Tax Levies-Tort Im 25'!H14</f>
        <v>6204979</v>
      </c>
      <c r="D7720" s="2" t="str">
        <f t="shared" si="126"/>
        <v>Error?</v>
      </c>
      <c r="E7720" s="2" t="s">
        <v>821</v>
      </c>
    </row>
    <row r="7721" spans="1:6" x14ac:dyDescent="0.2">
      <c r="A7721">
        <v>7660</v>
      </c>
      <c r="B7721" s="1832">
        <f>'Rest Tax Levies-Tort Im 25'!K14</f>
        <v>0</v>
      </c>
      <c r="D7721" s="2" t="str">
        <f t="shared" si="126"/>
        <v>Error?</v>
      </c>
      <c r="E7721" s="2" t="s">
        <v>821</v>
      </c>
    </row>
    <row r="7722" spans="1:6" x14ac:dyDescent="0.2">
      <c r="A7722">
        <v>7661</v>
      </c>
      <c r="B7722" s="1832">
        <f>'Rest Tax Levies-Tort Im 25'!J15</f>
        <v>0</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0</v>
      </c>
      <c r="D7730" s="2" t="str">
        <f t="shared" si="126"/>
        <v>Error?</v>
      </c>
      <c r="E7730" s="2" t="s">
        <v>821</v>
      </c>
    </row>
    <row r="7731" spans="1:6" x14ac:dyDescent="0.2">
      <c r="A7731">
        <v>7670</v>
      </c>
      <c r="B7731" s="1832">
        <f>'Revenues 9-14'!H103</f>
        <v>0</v>
      </c>
      <c r="D7731" s="2" t="str">
        <f t="shared" si="126"/>
        <v>Error?</v>
      </c>
      <c r="E7731" s="2" t="s">
        <v>821</v>
      </c>
    </row>
    <row r="7732" spans="1:6" x14ac:dyDescent="0.2">
      <c r="A7732">
        <v>7671</v>
      </c>
      <c r="B7732" s="1832">
        <f>'Rest Tax Levies-Tort Im 25'!J24</f>
        <v>0</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1321</v>
      </c>
    </row>
    <row r="7749" spans="1:6" x14ac:dyDescent="0.2">
      <c r="A7749">
        <v>7688</v>
      </c>
      <c r="B7749" s="1832">
        <f>'Acct Summary 7-8'!D25</f>
        <v>133011</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1425</v>
      </c>
    </row>
    <row r="7757" spans="1:6" x14ac:dyDescent="0.2">
      <c r="A7757" s="126">
        <v>7696</v>
      </c>
      <c r="B7757" s="1832"/>
      <c r="D7757" s="2" t="str">
        <f t="shared" si="127"/>
        <v>OK</v>
      </c>
      <c r="E7757" s="4" t="s">
        <v>1321</v>
      </c>
      <c r="F7757" t="s">
        <v>1425</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1402</v>
      </c>
    </row>
    <row r="7762" spans="1:5" x14ac:dyDescent="0.2">
      <c r="A7762">
        <v>7701</v>
      </c>
      <c r="B7762" s="1832">
        <f>'Expenditures 15-22'!E6</f>
        <v>0</v>
      </c>
      <c r="D7762" s="2" t="str">
        <f t="shared" si="127"/>
        <v>Error?</v>
      </c>
      <c r="E7762" s="4" t="s">
        <v>1412</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1440</v>
      </c>
    </row>
    <row r="7765" spans="1:5" x14ac:dyDescent="0.2">
      <c r="A7765">
        <v>7704</v>
      </c>
      <c r="B7765" s="1832">
        <f>'Revenues 9-14'!C254</f>
        <v>0</v>
      </c>
      <c r="D7765" s="2" t="str">
        <f t="shared" si="127"/>
        <v>Error?</v>
      </c>
      <c r="E7765" s="4" t="s">
        <v>1444</v>
      </c>
    </row>
    <row r="7766" spans="1:5" x14ac:dyDescent="0.2">
      <c r="A7766">
        <v>7705</v>
      </c>
      <c r="B7766" s="1832">
        <f>'Revenues 9-14'!D254</f>
        <v>0</v>
      </c>
      <c r="D7766" s="2" t="str">
        <f t="shared" si="127"/>
        <v>Error?</v>
      </c>
      <c r="E7766" s="4" t="s">
        <v>1444</v>
      </c>
    </row>
    <row r="7767" spans="1:5" x14ac:dyDescent="0.2">
      <c r="A7767" s="126">
        <v>7706</v>
      </c>
      <c r="B7767" s="1832"/>
      <c r="D7767" s="4" t="s">
        <v>1991</v>
      </c>
      <c r="E7767" s="4"/>
    </row>
    <row r="7768" spans="1:5" x14ac:dyDescent="0.2">
      <c r="A7768">
        <v>7707</v>
      </c>
      <c r="B7768" s="1832">
        <f>'Revenues 9-14'!F254</f>
        <v>0</v>
      </c>
      <c r="D7768" s="2" t="str">
        <f t="shared" si="127"/>
        <v>Error?</v>
      </c>
      <c r="E7768" s="4" t="s">
        <v>1444</v>
      </c>
    </row>
    <row r="7769" spans="1:5" x14ac:dyDescent="0.2">
      <c r="A7769">
        <v>7708</v>
      </c>
      <c r="B7769" s="1832">
        <f>'Revenues 9-14'!G254</f>
        <v>0</v>
      </c>
      <c r="D7769" s="2" t="str">
        <f t="shared" si="127"/>
        <v>Error?</v>
      </c>
      <c r="E7769" s="4" t="s">
        <v>1444</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1445</v>
      </c>
    </row>
    <row r="7773" spans="1:5" x14ac:dyDescent="0.2">
      <c r="A7773">
        <v>7712</v>
      </c>
      <c r="B7773" s="1832">
        <f>'Rest Tax Levies-Tort Im 25'!J22</f>
        <v>0</v>
      </c>
      <c r="D7773" s="2" t="str">
        <f t="shared" si="127"/>
        <v>Error?</v>
      </c>
      <c r="E7773" s="4" t="s">
        <v>1533</v>
      </c>
    </row>
    <row r="7774" spans="1:5" x14ac:dyDescent="0.2">
      <c r="A7774">
        <v>7713</v>
      </c>
      <c r="B7774" s="1832">
        <f>'Expenditures 15-22'!E133</f>
        <v>0</v>
      </c>
      <c r="D7774" s="2" t="str">
        <f t="shared" si="127"/>
        <v>Error?</v>
      </c>
      <c r="E7774" s="4" t="s">
        <v>1820</v>
      </c>
    </row>
    <row r="7775" spans="1:5" x14ac:dyDescent="0.2">
      <c r="A7775">
        <v>7714</v>
      </c>
      <c r="B7775" s="1832">
        <f>'Expenditures 15-22'!H133</f>
        <v>0</v>
      </c>
      <c r="D7775" s="2" t="str">
        <f t="shared" si="127"/>
        <v>Error?</v>
      </c>
      <c r="E7775" s="4" t="s">
        <v>1820</v>
      </c>
    </row>
    <row r="7776" spans="1:5" x14ac:dyDescent="0.2">
      <c r="A7776">
        <v>7715</v>
      </c>
      <c r="B7776" s="1832">
        <f>'Expenditures 15-22'!K133</f>
        <v>0</v>
      </c>
      <c r="D7776" s="2" t="str">
        <f t="shared" si="127"/>
        <v>Error?</v>
      </c>
      <c r="E7776" s="4" t="s">
        <v>1820</v>
      </c>
    </row>
    <row r="7777" spans="1:5" x14ac:dyDescent="0.2">
      <c r="A7777">
        <v>7716</v>
      </c>
      <c r="B7777" s="1832">
        <f>'Expenditures 15-22'!H157</f>
        <v>0</v>
      </c>
      <c r="D7777" s="2" t="str">
        <f t="shared" si="127"/>
        <v>Error?</v>
      </c>
      <c r="E7777" s="4" t="s">
        <v>1820</v>
      </c>
    </row>
    <row r="7778" spans="1:5" x14ac:dyDescent="0.2">
      <c r="A7778">
        <v>7717</v>
      </c>
      <c r="B7778" s="1832">
        <f>'Expenditures 15-22'!K157</f>
        <v>0</v>
      </c>
      <c r="D7778" s="2" t="str">
        <f t="shared" si="127"/>
        <v>Error?</v>
      </c>
      <c r="E7778" s="4" t="s">
        <v>1820</v>
      </c>
    </row>
    <row r="7779" spans="1:5" x14ac:dyDescent="0.2">
      <c r="A7779">
        <v>7718</v>
      </c>
      <c r="B7779" s="1832">
        <f>'Expenditures 15-22'!H158</f>
        <v>0</v>
      </c>
      <c r="D7779" s="2" t="str">
        <f t="shared" si="127"/>
        <v>Error?</v>
      </c>
      <c r="E7779" s="4" t="s">
        <v>1820</v>
      </c>
    </row>
    <row r="7780" spans="1:5" x14ac:dyDescent="0.2">
      <c r="A7780">
        <v>7719</v>
      </c>
      <c r="B7780" s="1832">
        <f>'Expenditures 15-22'!K158</f>
        <v>0</v>
      </c>
      <c r="D7780" s="2" t="str">
        <f t="shared" si="127"/>
        <v>Error?</v>
      </c>
      <c r="E7780" s="4" t="s">
        <v>1820</v>
      </c>
    </row>
    <row r="7781" spans="1:5" x14ac:dyDescent="0.2">
      <c r="A7781">
        <v>7720</v>
      </c>
      <c r="B7781" s="1832">
        <f>'Expenditures 15-22'!H159</f>
        <v>0</v>
      </c>
      <c r="D7781" s="2" t="str">
        <f t="shared" si="127"/>
        <v>Error?</v>
      </c>
      <c r="E7781" s="4" t="s">
        <v>1820</v>
      </c>
    </row>
    <row r="7782" spans="1:5" x14ac:dyDescent="0.2">
      <c r="A7782">
        <v>7721</v>
      </c>
      <c r="B7782" s="1832">
        <f>'Expenditures 15-22'!K159</f>
        <v>0</v>
      </c>
      <c r="D7782" s="2" t="str">
        <f t="shared" si="127"/>
        <v>Error?</v>
      </c>
      <c r="E7782" s="4" t="s">
        <v>1820</v>
      </c>
    </row>
    <row r="7783" spans="1:5" x14ac:dyDescent="0.2">
      <c r="A7783">
        <v>7722</v>
      </c>
      <c r="B7783" s="1832">
        <f>'Expenditures 15-22'!D282</f>
        <v>0</v>
      </c>
      <c r="D7783" s="2" t="str">
        <f t="shared" si="127"/>
        <v>Error?</v>
      </c>
      <c r="E7783" s="4" t="s">
        <v>1820</v>
      </c>
    </row>
    <row r="7784" spans="1:5" x14ac:dyDescent="0.2">
      <c r="A7784">
        <v>7723</v>
      </c>
      <c r="B7784" s="1832">
        <f>'Expenditures 15-22'!K282</f>
        <v>0</v>
      </c>
      <c r="D7784" s="2" t="str">
        <f t="shared" si="127"/>
        <v>Error?</v>
      </c>
      <c r="E7784" s="4" t="s">
        <v>1820</v>
      </c>
    </row>
    <row r="7785" spans="1:5" x14ac:dyDescent="0.2">
      <c r="A7785">
        <v>7724</v>
      </c>
      <c r="B7785" s="1832">
        <f>'Expenditures 15-22'!H332</f>
        <v>0</v>
      </c>
      <c r="D7785" s="2" t="str">
        <f t="shared" si="127"/>
        <v>Error?</v>
      </c>
      <c r="E7785" s="4" t="s">
        <v>1820</v>
      </c>
    </row>
    <row r="7786" spans="1:5" x14ac:dyDescent="0.2">
      <c r="A7786">
        <v>7725</v>
      </c>
      <c r="B7786" s="1832">
        <f>'Expenditures 15-22'!K332</f>
        <v>0</v>
      </c>
      <c r="D7786" s="2" t="str">
        <f t="shared" si="127"/>
        <v>Error?</v>
      </c>
      <c r="E7786" s="4" t="s">
        <v>1820</v>
      </c>
    </row>
    <row r="7787" spans="1:5" x14ac:dyDescent="0.2">
      <c r="A7787">
        <v>7726</v>
      </c>
      <c r="B7787" s="1832">
        <f>'Expenditures 15-22'!H333</f>
        <v>0</v>
      </c>
      <c r="D7787" s="2" t="str">
        <f t="shared" si="127"/>
        <v>Error?</v>
      </c>
      <c r="E7787" s="4" t="s">
        <v>1820</v>
      </c>
    </row>
    <row r="7788" spans="1:5" x14ac:dyDescent="0.2">
      <c r="A7788">
        <v>7727</v>
      </c>
      <c r="B7788" s="1832">
        <f>'Expenditures 15-22'!K333</f>
        <v>0</v>
      </c>
      <c r="D7788" s="2" t="str">
        <f t="shared" si="127"/>
        <v>Error?</v>
      </c>
      <c r="E7788" s="4" t="s">
        <v>1820</v>
      </c>
    </row>
    <row r="7789" spans="1:5" x14ac:dyDescent="0.2">
      <c r="A7789">
        <v>7728</v>
      </c>
      <c r="B7789" s="1832">
        <f>'Expenditures 15-22'!H334</f>
        <v>0</v>
      </c>
      <c r="D7789" s="2" t="str">
        <f t="shared" si="127"/>
        <v>Error?</v>
      </c>
      <c r="E7789" s="4" t="s">
        <v>1820</v>
      </c>
    </row>
    <row r="7790" spans="1:5" x14ac:dyDescent="0.2">
      <c r="A7790">
        <v>7729</v>
      </c>
      <c r="B7790" s="1832">
        <f>'Expenditures 15-22'!K334</f>
        <v>0</v>
      </c>
      <c r="D7790" s="2" t="str">
        <f t="shared" si="127"/>
        <v>Error?</v>
      </c>
      <c r="E7790" s="4" t="s">
        <v>1820</v>
      </c>
    </row>
    <row r="7791" spans="1:5" x14ac:dyDescent="0.2">
      <c r="A7791">
        <v>7730</v>
      </c>
      <c r="B7791" s="1832">
        <f>'Expenditures 15-22'!H354</f>
        <v>0</v>
      </c>
      <c r="D7791" s="2" t="str">
        <f t="shared" si="127"/>
        <v>Error?</v>
      </c>
      <c r="E7791" s="4" t="s">
        <v>1820</v>
      </c>
    </row>
    <row r="7792" spans="1:5" x14ac:dyDescent="0.2">
      <c r="A7792">
        <v>7731</v>
      </c>
      <c r="B7792" s="1832">
        <f>'Expenditures 15-22'!K354</f>
        <v>0</v>
      </c>
      <c r="D7792" s="2" t="str">
        <f t="shared" si="127"/>
        <v>Error?</v>
      </c>
      <c r="E7792" s="4" t="s">
        <v>1820</v>
      </c>
    </row>
    <row r="7793" spans="1:5" x14ac:dyDescent="0.2">
      <c r="A7793">
        <v>7732</v>
      </c>
      <c r="B7793" s="1832">
        <f>'Expenditures 15-22'!H355</f>
        <v>0</v>
      </c>
      <c r="D7793" s="2" t="str">
        <f t="shared" si="127"/>
        <v>Error?</v>
      </c>
      <c r="E7793" s="4" t="s">
        <v>1820</v>
      </c>
    </row>
    <row r="7794" spans="1:5" x14ac:dyDescent="0.2">
      <c r="A7794">
        <v>7733</v>
      </c>
      <c r="B7794" s="1832">
        <f>'Expenditures 15-22'!K355</f>
        <v>0</v>
      </c>
      <c r="D7794" s="2" t="str">
        <f t="shared" si="127"/>
        <v>Error?</v>
      </c>
      <c r="E7794" s="4" t="s">
        <v>1820</v>
      </c>
    </row>
    <row r="7795" spans="1:5" x14ac:dyDescent="0.2">
      <c r="A7795">
        <v>7734</v>
      </c>
      <c r="B7795" s="1832">
        <f>'Expenditures 15-22'!E138</f>
        <v>0</v>
      </c>
      <c r="D7795" s="2" t="str">
        <f t="shared" si="127"/>
        <v>Error?</v>
      </c>
      <c r="E7795" s="4" t="s">
        <v>1820</v>
      </c>
    </row>
    <row r="7796" spans="1:5" x14ac:dyDescent="0.2">
      <c r="A7796">
        <v>7735</v>
      </c>
      <c r="B7796" s="1832">
        <f>'Acct Summary 7-8'!J15</f>
        <v>0</v>
      </c>
      <c r="D7796" s="2" t="str">
        <f t="shared" si="127"/>
        <v>Error?</v>
      </c>
      <c r="E7796" s="4" t="s">
        <v>1820</v>
      </c>
    </row>
    <row r="7797" spans="1:5" x14ac:dyDescent="0.2">
      <c r="A7797" s="126">
        <v>7736</v>
      </c>
      <c r="B7797" s="1832"/>
      <c r="D7797" s="2" t="str">
        <f t="shared" si="127"/>
        <v>OK</v>
      </c>
      <c r="E7797" s="4" t="s">
        <v>1973</v>
      </c>
    </row>
    <row r="7798" spans="1:5" x14ac:dyDescent="0.2">
      <c r="A7798" s="126">
        <v>7737</v>
      </c>
      <c r="B7798" s="1832"/>
      <c r="D7798" s="2" t="str">
        <f t="shared" si="127"/>
        <v>OK</v>
      </c>
      <c r="E7798" s="4" t="s">
        <v>1973</v>
      </c>
    </row>
    <row r="7799" spans="1:5" x14ac:dyDescent="0.2">
      <c r="A7799" s="126">
        <v>7738</v>
      </c>
      <c r="B7799" s="1832"/>
      <c r="D7799" s="2" t="str">
        <f t="shared" si="127"/>
        <v>OK</v>
      </c>
      <c r="E7799" s="4" t="s">
        <v>1973</v>
      </c>
    </row>
    <row r="7800" spans="1:5" x14ac:dyDescent="0.2">
      <c r="A7800">
        <v>7739</v>
      </c>
      <c r="B7800" s="1832">
        <f>'Rest Tax Levies-Tort Im 25'!K23</f>
        <v>0</v>
      </c>
      <c r="D7800" s="2" t="str">
        <f t="shared" si="127"/>
        <v>Error?</v>
      </c>
      <c r="E7800" s="4" t="s">
        <v>1960</v>
      </c>
    </row>
    <row r="7801" spans="1:5" x14ac:dyDescent="0.2">
      <c r="A7801">
        <v>7740</v>
      </c>
      <c r="B7801" s="1832">
        <f>'Revenues 9-14'!C120</f>
        <v>0</v>
      </c>
      <c r="D7801" s="2" t="str">
        <f t="shared" si="127"/>
        <v>Error?</v>
      </c>
      <c r="E7801" s="4" t="s">
        <v>1894</v>
      </c>
    </row>
    <row r="7802" spans="1:5" x14ac:dyDescent="0.2">
      <c r="A7802">
        <v>7741</v>
      </c>
      <c r="B7802" s="1832">
        <f>'Revenues 9-14'!D120</f>
        <v>0</v>
      </c>
      <c r="D7802" s="2" t="str">
        <f t="shared" si="127"/>
        <v>Error?</v>
      </c>
      <c r="E7802" s="4" t="s">
        <v>1894</v>
      </c>
    </row>
    <row r="7803" spans="1:5" x14ac:dyDescent="0.2">
      <c r="A7803">
        <v>7742</v>
      </c>
      <c r="B7803" s="1832">
        <f>'Revenues 9-14'!E120</f>
        <v>0</v>
      </c>
      <c r="D7803" s="2" t="str">
        <f t="shared" si="127"/>
        <v>Error?</v>
      </c>
      <c r="E7803" s="4" t="s">
        <v>1894</v>
      </c>
    </row>
    <row r="7804" spans="1:5" x14ac:dyDescent="0.2">
      <c r="A7804">
        <v>7743</v>
      </c>
      <c r="B7804" s="1832">
        <f>'Revenues 9-14'!F120</f>
        <v>0</v>
      </c>
      <c r="D7804" s="2" t="str">
        <f t="shared" si="127"/>
        <v>Error?</v>
      </c>
      <c r="E7804" s="4" t="s">
        <v>1894</v>
      </c>
    </row>
    <row r="7805" spans="1:5" x14ac:dyDescent="0.2">
      <c r="A7805">
        <v>7744</v>
      </c>
      <c r="B7805" s="1832">
        <f>'Revenues 9-14'!G120</f>
        <v>0</v>
      </c>
      <c r="D7805" s="2" t="str">
        <f t="shared" si="127"/>
        <v>Error?</v>
      </c>
      <c r="E7805" s="4" t="s">
        <v>1894</v>
      </c>
    </row>
    <row r="7806" spans="1:5" x14ac:dyDescent="0.2">
      <c r="A7806">
        <v>7745</v>
      </c>
      <c r="B7806" s="1832">
        <f>'Revenues 9-14'!H120</f>
        <v>0</v>
      </c>
      <c r="D7806" s="2" t="str">
        <f t="shared" si="127"/>
        <v>Error?</v>
      </c>
      <c r="E7806" s="4" t="s">
        <v>1894</v>
      </c>
    </row>
    <row r="7807" spans="1:5" x14ac:dyDescent="0.2">
      <c r="A7807">
        <v>7746</v>
      </c>
      <c r="B7807" s="1832">
        <f>'Revenues 9-14'!J120</f>
        <v>0</v>
      </c>
      <c r="D7807" s="2" t="str">
        <f t="shared" ref="D7807:D7821" si="128">IF(ISBLANK(B7807),"OK",IF(A7807-B7807=0,"OK","Error?"))</f>
        <v>Error?</v>
      </c>
      <c r="E7807" s="4" t="s">
        <v>1894</v>
      </c>
    </row>
    <row r="7808" spans="1:5" x14ac:dyDescent="0.2">
      <c r="A7808">
        <v>7747</v>
      </c>
      <c r="B7808" s="1832">
        <f>'Revenues 9-14'!K120</f>
        <v>0</v>
      </c>
      <c r="D7808" s="2" t="str">
        <f t="shared" si="128"/>
        <v>Error?</v>
      </c>
      <c r="E7808" s="4" t="s">
        <v>1894</v>
      </c>
    </row>
    <row r="7809" spans="1:5" x14ac:dyDescent="0.2">
      <c r="A7809">
        <v>7748</v>
      </c>
      <c r="B7809" s="1832">
        <f>'Revenues 9-14'!C261</f>
        <v>0</v>
      </c>
      <c r="D7809" s="2" t="str">
        <f t="shared" si="128"/>
        <v>Error?</v>
      </c>
      <c r="E7809" s="4" t="s">
        <v>1895</v>
      </c>
    </row>
    <row r="7810" spans="1:5" x14ac:dyDescent="0.2">
      <c r="A7810">
        <v>7749</v>
      </c>
      <c r="B7810" s="1832">
        <f>'Revenues 9-14'!D261</f>
        <v>0</v>
      </c>
      <c r="D7810" s="2" t="str">
        <f t="shared" si="128"/>
        <v>Error?</v>
      </c>
      <c r="E7810" s="4" t="s">
        <v>1895</v>
      </c>
    </row>
    <row r="7811" spans="1:5" x14ac:dyDescent="0.2">
      <c r="A7811">
        <v>7750</v>
      </c>
      <c r="B7811" s="1832">
        <f>'Revenues 9-14'!F261</f>
        <v>0</v>
      </c>
      <c r="D7811" s="2" t="str">
        <f t="shared" si="128"/>
        <v>Error?</v>
      </c>
      <c r="E7811" s="4" t="s">
        <v>1895</v>
      </c>
    </row>
    <row r="7812" spans="1:5" x14ac:dyDescent="0.2">
      <c r="A7812">
        <v>7751</v>
      </c>
      <c r="B7812" s="1832">
        <f>'Revenues 9-14'!G261</f>
        <v>0</v>
      </c>
      <c r="D7812" s="2" t="str">
        <f t="shared" si="128"/>
        <v>Error?</v>
      </c>
      <c r="E7812" s="4" t="s">
        <v>1895</v>
      </c>
    </row>
    <row r="7813" spans="1:5" x14ac:dyDescent="0.2">
      <c r="A7813">
        <v>7752</v>
      </c>
      <c r="B7813" s="1832">
        <f>'Revenues 9-14'!C262</f>
        <v>0</v>
      </c>
      <c r="D7813" s="2" t="str">
        <f t="shared" si="128"/>
        <v>Error?</v>
      </c>
      <c r="E7813" s="4" t="s">
        <v>1896</v>
      </c>
    </row>
    <row r="7814" spans="1:5" x14ac:dyDescent="0.2">
      <c r="A7814">
        <v>7753</v>
      </c>
      <c r="B7814" s="1832">
        <f>'Revenues 9-14'!D262</f>
        <v>0</v>
      </c>
      <c r="D7814" s="2" t="str">
        <f t="shared" si="128"/>
        <v>Error?</v>
      </c>
      <c r="E7814" s="4" t="s">
        <v>1896</v>
      </c>
    </row>
    <row r="7815" spans="1:5" x14ac:dyDescent="0.2">
      <c r="A7815">
        <v>7754</v>
      </c>
      <c r="B7815" s="1832">
        <f>'Revenues 9-14'!F262</f>
        <v>0</v>
      </c>
      <c r="D7815" s="2" t="str">
        <f t="shared" si="128"/>
        <v>Error?</v>
      </c>
      <c r="E7815" s="4" t="s">
        <v>1896</v>
      </c>
    </row>
    <row r="7816" spans="1:5" x14ac:dyDescent="0.2">
      <c r="A7816">
        <v>7755</v>
      </c>
      <c r="B7816" s="1832">
        <f>'Revenues 9-14'!G262</f>
        <v>0</v>
      </c>
      <c r="D7816" s="2" t="str">
        <f t="shared" si="128"/>
        <v>Error?</v>
      </c>
      <c r="E7816" s="4" t="s">
        <v>1896</v>
      </c>
    </row>
    <row r="7817" spans="1:5" x14ac:dyDescent="0.2">
      <c r="A7817">
        <v>7756</v>
      </c>
      <c r="B7817" s="1832">
        <f>'Short-Term Long-Term Debt 24'!C49</f>
        <v>49385000</v>
      </c>
      <c r="D7817" s="2" t="str">
        <f t="shared" si="128"/>
        <v>Error?</v>
      </c>
      <c r="E7817" s="4" t="s">
        <v>1960</v>
      </c>
    </row>
    <row r="7818" spans="1:5" x14ac:dyDescent="0.2">
      <c r="A7818">
        <v>7757</v>
      </c>
      <c r="B7818" s="1832">
        <f>'PCTC-OEPP 27-28'!F172</f>
        <v>931091.09</v>
      </c>
      <c r="D7818" s="2" t="str">
        <f t="shared" si="128"/>
        <v>Error?</v>
      </c>
      <c r="E7818" s="4" t="s">
        <v>1974</v>
      </c>
    </row>
    <row r="7819" spans="1:5" x14ac:dyDescent="0.2">
      <c r="A7819">
        <v>7758</v>
      </c>
      <c r="B7819" s="1832">
        <f>'PCTC-OEPP 27-28'!F173</f>
        <v>36170.97</v>
      </c>
      <c r="D7819" s="2" t="str">
        <f t="shared" si="128"/>
        <v>Error?</v>
      </c>
      <c r="E7819" s="4" t="s">
        <v>1974</v>
      </c>
    </row>
    <row r="7820" spans="1:5" x14ac:dyDescent="0.2">
      <c r="A7820">
        <v>7759</v>
      </c>
      <c r="B7820" s="1832">
        <f>'ICR Computation 30'!E40</f>
        <v>-12482719</v>
      </c>
      <c r="D7820" s="2" t="str">
        <f t="shared" si="128"/>
        <v>Error?</v>
      </c>
    </row>
    <row r="7821" spans="1:5" x14ac:dyDescent="0.2">
      <c r="A7821">
        <v>7760</v>
      </c>
      <c r="B7821" s="1832">
        <f>'ICR Computation 30'!G40</f>
        <v>-12482719</v>
      </c>
      <c r="D7821" s="2" t="str">
        <f t="shared" si="128"/>
        <v>Error?</v>
      </c>
    </row>
    <row r="7822" spans="1:5" x14ac:dyDescent="0.2">
      <c r="A7822" s="1">
        <v>7761</v>
      </c>
      <c r="B7822" s="1832">
        <f>'PCTC-OEPP 27-28'!F14</f>
        <v>134847234</v>
      </c>
      <c r="D7822" s="4" t="s">
        <v>1991</v>
      </c>
      <c r="E7822" s="4" t="s">
        <v>1992</v>
      </c>
    </row>
    <row r="7823" spans="1:5" x14ac:dyDescent="0.2">
      <c r="A7823" s="1">
        <v>7762</v>
      </c>
      <c r="B7823" s="1832">
        <f>'PCTC-OEPP 27-28'!F30</f>
        <v>0</v>
      </c>
      <c r="D7823" s="4" t="s">
        <v>1991</v>
      </c>
      <c r="E7823" s="4" t="s">
        <v>1992</v>
      </c>
    </row>
    <row r="7824" spans="1:5" x14ac:dyDescent="0.2">
      <c r="A7824" s="1">
        <v>7763</v>
      </c>
      <c r="B7824" s="1832">
        <f>'PCTC-OEPP 27-28'!F31</f>
        <v>0</v>
      </c>
      <c r="D7824" s="4" t="s">
        <v>1991</v>
      </c>
      <c r="E7824" s="4" t="s">
        <v>1992</v>
      </c>
    </row>
    <row r="7825" spans="1:5" x14ac:dyDescent="0.2">
      <c r="A7825" s="1">
        <v>7764</v>
      </c>
      <c r="B7825" s="1832">
        <f>'PCTC-OEPP 27-28'!F32</f>
        <v>0</v>
      </c>
      <c r="D7825" s="2" t="str">
        <f t="shared" ref="D7825:D7887" si="129">IF(ISBLANK(B7825),"OK",IF(A7825-B7825=0,"OK","Error?"))</f>
        <v>Error?</v>
      </c>
      <c r="E7825" s="4" t="s">
        <v>1992</v>
      </c>
    </row>
    <row r="7826" spans="1:5" x14ac:dyDescent="0.2">
      <c r="A7826">
        <v>7765</v>
      </c>
      <c r="B7826" s="1832">
        <f>'PCTC-OEPP 27-28'!F34</f>
        <v>0</v>
      </c>
      <c r="D7826" s="2" t="str">
        <f t="shared" si="129"/>
        <v>Error?</v>
      </c>
      <c r="E7826" s="4" t="s">
        <v>1992</v>
      </c>
    </row>
    <row r="7827" spans="1:5" x14ac:dyDescent="0.2">
      <c r="A7827">
        <v>7766</v>
      </c>
      <c r="B7827" s="1832">
        <f>'PCTC-OEPP 27-28'!F35</f>
        <v>0</v>
      </c>
      <c r="D7827" s="2" t="str">
        <f t="shared" si="129"/>
        <v>Error?</v>
      </c>
      <c r="E7827" s="4" t="s">
        <v>1992</v>
      </c>
    </row>
    <row r="7828" spans="1:5" x14ac:dyDescent="0.2">
      <c r="A7828">
        <v>7767</v>
      </c>
      <c r="B7828" s="1832">
        <f>'PCTC-OEPP 27-28'!F36</f>
        <v>0</v>
      </c>
      <c r="D7828" s="2" t="str">
        <f t="shared" si="129"/>
        <v>Error?</v>
      </c>
      <c r="E7828" s="4" t="s">
        <v>1992</v>
      </c>
    </row>
    <row r="7829" spans="1:5" x14ac:dyDescent="0.2">
      <c r="A7829">
        <v>7768</v>
      </c>
      <c r="B7829" s="1832">
        <f>'PCTC-OEPP 27-28'!F37</f>
        <v>0</v>
      </c>
      <c r="D7829" s="2" t="str">
        <f t="shared" si="129"/>
        <v>Error?</v>
      </c>
      <c r="E7829" s="4" t="s">
        <v>1992</v>
      </c>
    </row>
    <row r="7830" spans="1:5" x14ac:dyDescent="0.2">
      <c r="A7830">
        <v>7769</v>
      </c>
      <c r="B7830" s="1832">
        <f>'PCTC-OEPP 27-28'!F38</f>
        <v>784714</v>
      </c>
      <c r="D7830" s="2" t="str">
        <f t="shared" si="129"/>
        <v>Error?</v>
      </c>
      <c r="E7830" s="4" t="s">
        <v>1992</v>
      </c>
    </row>
    <row r="7831" spans="1:5" x14ac:dyDescent="0.2">
      <c r="A7831">
        <v>7770</v>
      </c>
      <c r="B7831" s="1832">
        <f>'PCTC-OEPP 27-28'!F52</f>
        <v>2675810</v>
      </c>
      <c r="D7831" s="2" t="str">
        <f t="shared" si="129"/>
        <v>Error?</v>
      </c>
      <c r="E7831" s="4" t="s">
        <v>1992</v>
      </c>
    </row>
    <row r="7832" spans="1:5" x14ac:dyDescent="0.2">
      <c r="A7832">
        <v>7771</v>
      </c>
      <c r="B7832" s="1832">
        <f>'PCTC-OEPP 27-28'!F56</f>
        <v>0</v>
      </c>
      <c r="D7832" s="2" t="str">
        <f t="shared" si="129"/>
        <v>Error?</v>
      </c>
      <c r="E7832" s="4" t="s">
        <v>1992</v>
      </c>
    </row>
    <row r="7833" spans="1:5" x14ac:dyDescent="0.2">
      <c r="A7833">
        <v>7772</v>
      </c>
      <c r="B7833" s="1832">
        <f>'PCTC-OEPP 27-28'!F62</f>
        <v>0</v>
      </c>
      <c r="D7833" s="2" t="str">
        <f t="shared" si="129"/>
        <v>Error?</v>
      </c>
      <c r="E7833" s="4" t="s">
        <v>1992</v>
      </c>
    </row>
    <row r="7834" spans="1:5" x14ac:dyDescent="0.2">
      <c r="A7834">
        <v>7773</v>
      </c>
      <c r="B7834" s="1832">
        <f>'PCTC-OEPP 27-28'!F77</f>
        <v>41040279</v>
      </c>
      <c r="D7834" s="2" t="str">
        <f t="shared" si="129"/>
        <v>Error?</v>
      </c>
      <c r="E7834" s="4" t="s">
        <v>1992</v>
      </c>
    </row>
    <row r="7835" spans="1:5" x14ac:dyDescent="0.2">
      <c r="A7835">
        <v>7774</v>
      </c>
      <c r="B7835" s="1832">
        <f>'PCTC-OEPP 27-28'!F78</f>
        <v>93806955</v>
      </c>
      <c r="D7835" s="2" t="str">
        <f t="shared" si="129"/>
        <v>Error?</v>
      </c>
      <c r="E7835" s="4" t="s">
        <v>1992</v>
      </c>
    </row>
    <row r="7836" spans="1:5" x14ac:dyDescent="0.2">
      <c r="A7836" s="126">
        <v>7775</v>
      </c>
      <c r="B7836" s="1832"/>
      <c r="D7836" s="2" t="str">
        <f t="shared" si="129"/>
        <v>OK</v>
      </c>
      <c r="E7836" s="4" t="s">
        <v>1994</v>
      </c>
    </row>
    <row r="7837" spans="1:5" x14ac:dyDescent="0.2">
      <c r="A7837">
        <v>7776</v>
      </c>
      <c r="B7837" s="1832">
        <f>'PCTC-OEPP 27-28'!F80</f>
        <v>23126.236964721542</v>
      </c>
      <c r="D7837" s="2" t="str">
        <f t="shared" si="129"/>
        <v>Error?</v>
      </c>
      <c r="E7837" s="4" t="s">
        <v>1992</v>
      </c>
    </row>
    <row r="7838" spans="1:5" x14ac:dyDescent="0.2">
      <c r="A7838">
        <v>7777</v>
      </c>
      <c r="B7838" s="1832">
        <f>'PCTC-OEPP 27-28'!F96</f>
        <v>1612893</v>
      </c>
      <c r="D7838" s="2" t="str">
        <f t="shared" si="129"/>
        <v>Error?</v>
      </c>
      <c r="E7838" s="4" t="s">
        <v>1992</v>
      </c>
    </row>
    <row r="7839" spans="1:5" x14ac:dyDescent="0.2">
      <c r="A7839">
        <v>7778</v>
      </c>
      <c r="B7839" s="1832">
        <f>'PCTC-OEPP 27-28'!F102</f>
        <v>88308</v>
      </c>
      <c r="D7839" s="2" t="str">
        <f t="shared" si="129"/>
        <v>Error?</v>
      </c>
      <c r="E7839" s="4" t="s">
        <v>1992</v>
      </c>
    </row>
    <row r="7840" spans="1:5" x14ac:dyDescent="0.2">
      <c r="A7840">
        <v>7779</v>
      </c>
      <c r="B7840" s="1832">
        <f>'PCTC-OEPP 27-28'!F103</f>
        <v>0</v>
      </c>
      <c r="D7840" s="2" t="str">
        <f t="shared" si="129"/>
        <v>Error?</v>
      </c>
      <c r="E7840" s="4" t="s">
        <v>1992</v>
      </c>
    </row>
    <row r="7841" spans="1:5" x14ac:dyDescent="0.2">
      <c r="A7841">
        <v>7780</v>
      </c>
      <c r="B7841" s="1832">
        <f>'PCTC-OEPP 27-28'!F104</f>
        <v>0</v>
      </c>
      <c r="D7841" s="2" t="str">
        <f t="shared" si="129"/>
        <v>Error?</v>
      </c>
      <c r="E7841" s="4" t="s">
        <v>1992</v>
      </c>
    </row>
    <row r="7842" spans="1:5" x14ac:dyDescent="0.2">
      <c r="A7842">
        <v>7781</v>
      </c>
      <c r="B7842" s="1832">
        <f>'PCTC-OEPP 27-28'!F106</f>
        <v>424092</v>
      </c>
      <c r="D7842" s="2" t="str">
        <f t="shared" si="129"/>
        <v>Error?</v>
      </c>
      <c r="E7842" s="4" t="s">
        <v>1992</v>
      </c>
    </row>
    <row r="7843" spans="1:5" x14ac:dyDescent="0.2">
      <c r="A7843">
        <v>7782</v>
      </c>
      <c r="B7843" s="1832">
        <f>'PCTC-OEPP 27-28'!F107</f>
        <v>47748</v>
      </c>
      <c r="D7843" s="2" t="str">
        <f t="shared" si="129"/>
        <v>Error?</v>
      </c>
      <c r="E7843" s="4" t="s">
        <v>1992</v>
      </c>
    </row>
    <row r="7844" spans="1:5" x14ac:dyDescent="0.2">
      <c r="A7844">
        <v>7783</v>
      </c>
      <c r="B7844" s="1832">
        <f>'PCTC-OEPP 27-28'!F108</f>
        <v>0</v>
      </c>
      <c r="D7844" s="2" t="str">
        <f t="shared" si="129"/>
        <v>Error?</v>
      </c>
      <c r="E7844" s="4" t="s">
        <v>1992</v>
      </c>
    </row>
    <row r="7845" spans="1:5" x14ac:dyDescent="0.2">
      <c r="A7845">
        <v>7784</v>
      </c>
      <c r="B7845" s="1832">
        <f>'PCTC-OEPP 27-28'!F110</f>
        <v>0</v>
      </c>
      <c r="D7845" s="2" t="str">
        <f t="shared" si="129"/>
        <v>Error?</v>
      </c>
      <c r="E7845" s="4" t="s">
        <v>1992</v>
      </c>
    </row>
    <row r="7846" spans="1:5" x14ac:dyDescent="0.2">
      <c r="A7846">
        <v>7785</v>
      </c>
      <c r="B7846" s="1832">
        <f>'PCTC-OEPP 27-28'!F111</f>
        <v>49387</v>
      </c>
      <c r="D7846" s="2" t="str">
        <f t="shared" si="129"/>
        <v>Error?</v>
      </c>
      <c r="E7846" s="4" t="s">
        <v>1992</v>
      </c>
    </row>
    <row r="7847" spans="1:5" x14ac:dyDescent="0.2">
      <c r="A7847">
        <v>7786</v>
      </c>
      <c r="B7847" s="1832">
        <f>'PCTC-OEPP 27-28'!F112</f>
        <v>1656078</v>
      </c>
      <c r="D7847" s="2" t="str">
        <f t="shared" si="129"/>
        <v>Error?</v>
      </c>
      <c r="E7847" s="4" t="s">
        <v>1992</v>
      </c>
    </row>
    <row r="7848" spans="1:5" x14ac:dyDescent="0.2">
      <c r="A7848">
        <v>7787</v>
      </c>
      <c r="B7848" s="1832">
        <f>'PCTC-OEPP 27-28'!F114</f>
        <v>0</v>
      </c>
      <c r="D7848" s="2" t="str">
        <f t="shared" si="129"/>
        <v>Error?</v>
      </c>
      <c r="E7848" s="4" t="s">
        <v>1992</v>
      </c>
    </row>
    <row r="7849" spans="1:5" x14ac:dyDescent="0.2">
      <c r="A7849">
        <v>7788</v>
      </c>
      <c r="B7849" s="1832">
        <f>'PCTC-OEPP 27-28'!F115</f>
        <v>0</v>
      </c>
      <c r="D7849" s="2" t="str">
        <f t="shared" si="129"/>
        <v>Error?</v>
      </c>
      <c r="E7849" s="4" t="s">
        <v>1992</v>
      </c>
    </row>
    <row r="7850" spans="1:5" x14ac:dyDescent="0.2">
      <c r="A7850">
        <v>7789</v>
      </c>
      <c r="B7850" s="1832">
        <f>'PCTC-OEPP 27-28'!F116</f>
        <v>0</v>
      </c>
      <c r="D7850" s="2" t="str">
        <f t="shared" si="129"/>
        <v>Error?</v>
      </c>
      <c r="E7850" s="4" t="s">
        <v>1992</v>
      </c>
    </row>
    <row r="7851" spans="1:5" x14ac:dyDescent="0.2">
      <c r="A7851">
        <v>7790</v>
      </c>
      <c r="B7851" s="1832">
        <f>'PCTC-OEPP 27-28'!F117</f>
        <v>0</v>
      </c>
      <c r="D7851" s="2" t="str">
        <f t="shared" si="129"/>
        <v>Error?</v>
      </c>
      <c r="E7851" s="4" t="s">
        <v>1992</v>
      </c>
    </row>
    <row r="7852" spans="1:5" x14ac:dyDescent="0.2">
      <c r="A7852">
        <v>7791</v>
      </c>
      <c r="B7852" s="1832">
        <f>'PCTC-OEPP 27-28'!F118</f>
        <v>0</v>
      </c>
      <c r="D7852" s="2" t="str">
        <f t="shared" si="129"/>
        <v>Error?</v>
      </c>
      <c r="E7852" s="4" t="s">
        <v>1992</v>
      </c>
    </row>
    <row r="7853" spans="1:5" x14ac:dyDescent="0.2">
      <c r="A7853">
        <v>7792</v>
      </c>
      <c r="B7853" s="1832">
        <f>'PCTC-OEPP 27-28'!F119</f>
        <v>0</v>
      </c>
      <c r="D7853" s="2" t="str">
        <f t="shared" si="129"/>
        <v>Error?</v>
      </c>
      <c r="E7853" s="4" t="s">
        <v>1992</v>
      </c>
    </row>
    <row r="7854" spans="1:5" x14ac:dyDescent="0.2">
      <c r="A7854">
        <v>7793</v>
      </c>
      <c r="B7854" s="1832">
        <f>'PCTC-OEPP 27-28'!F120</f>
        <v>0</v>
      </c>
      <c r="D7854" s="2" t="str">
        <f t="shared" si="129"/>
        <v>Error?</v>
      </c>
      <c r="E7854" s="4" t="s">
        <v>1992</v>
      </c>
    </row>
    <row r="7855" spans="1:5" x14ac:dyDescent="0.2">
      <c r="A7855">
        <v>7794</v>
      </c>
      <c r="B7855" s="1832">
        <f>'PCTC-OEPP 27-28'!F122</f>
        <v>768641</v>
      </c>
      <c r="D7855" s="2" t="str">
        <f t="shared" si="129"/>
        <v>Error?</v>
      </c>
      <c r="E7855" s="4" t="s">
        <v>1992</v>
      </c>
    </row>
    <row r="7856" spans="1:5" x14ac:dyDescent="0.2">
      <c r="A7856">
        <v>7795</v>
      </c>
      <c r="B7856" s="1832">
        <f>'PCTC-OEPP 27-28'!F124</f>
        <v>0</v>
      </c>
      <c r="D7856" s="2" t="str">
        <f t="shared" si="129"/>
        <v>Error?</v>
      </c>
      <c r="E7856" s="4" t="s">
        <v>1992</v>
      </c>
    </row>
    <row r="7857" spans="1:5" x14ac:dyDescent="0.2">
      <c r="A7857">
        <v>7796</v>
      </c>
      <c r="B7857" s="1832">
        <f>'PCTC-OEPP 27-28'!F125</f>
        <v>0</v>
      </c>
      <c r="D7857" s="2" t="str">
        <f t="shared" si="129"/>
        <v>Error?</v>
      </c>
      <c r="E7857" s="4" t="s">
        <v>1992</v>
      </c>
    </row>
    <row r="7858" spans="1:5" x14ac:dyDescent="0.2">
      <c r="A7858">
        <v>7797</v>
      </c>
      <c r="B7858" s="1832">
        <f>'PCTC-OEPP 27-28'!F126</f>
        <v>0</v>
      </c>
      <c r="D7858" s="2" t="str">
        <f t="shared" si="129"/>
        <v>Error?</v>
      </c>
      <c r="E7858" s="4" t="s">
        <v>1992</v>
      </c>
    </row>
    <row r="7859" spans="1:5" x14ac:dyDescent="0.2">
      <c r="A7859">
        <v>7798</v>
      </c>
      <c r="B7859" s="1832">
        <f>'PCTC-OEPP 27-28'!F127</f>
        <v>0</v>
      </c>
      <c r="D7859" s="2" t="str">
        <f t="shared" si="129"/>
        <v>Error?</v>
      </c>
      <c r="E7859" s="4" t="s">
        <v>1992</v>
      </c>
    </row>
    <row r="7860" spans="1:5" x14ac:dyDescent="0.2">
      <c r="A7860">
        <v>7799</v>
      </c>
      <c r="B7860" s="1832">
        <f>'PCTC-OEPP 27-28'!F128</f>
        <v>0</v>
      </c>
      <c r="D7860" s="2" t="str">
        <f t="shared" si="129"/>
        <v>Error?</v>
      </c>
      <c r="E7860" s="4" t="s">
        <v>1992</v>
      </c>
    </row>
    <row r="7861" spans="1:5" x14ac:dyDescent="0.2">
      <c r="A7861">
        <v>7800</v>
      </c>
      <c r="B7861" s="1832">
        <f>'PCTC-OEPP 27-28'!F129</f>
        <v>633423</v>
      </c>
      <c r="D7861" s="2" t="str">
        <f t="shared" si="129"/>
        <v>Error?</v>
      </c>
      <c r="E7861" s="4" t="s">
        <v>1992</v>
      </c>
    </row>
    <row r="7862" spans="1:5" x14ac:dyDescent="0.2">
      <c r="A7862">
        <v>7801</v>
      </c>
      <c r="B7862" s="1832">
        <f>'PCTC-OEPP 27-28'!F130</f>
        <v>602137</v>
      </c>
      <c r="D7862" s="2" t="str">
        <f t="shared" si="129"/>
        <v>Error?</v>
      </c>
      <c r="E7862" s="4" t="s">
        <v>1992</v>
      </c>
    </row>
    <row r="7863" spans="1:5" x14ac:dyDescent="0.2">
      <c r="A7863">
        <v>7802</v>
      </c>
      <c r="B7863" s="1832">
        <f>'PCTC-OEPP 27-28'!F131</f>
        <v>0</v>
      </c>
      <c r="D7863" s="2" t="str">
        <f t="shared" si="129"/>
        <v>Error?</v>
      </c>
      <c r="E7863" s="4" t="s">
        <v>1992</v>
      </c>
    </row>
    <row r="7864" spans="1:5" x14ac:dyDescent="0.2">
      <c r="A7864">
        <v>7803</v>
      </c>
      <c r="B7864" s="1832">
        <f>'PCTC-OEPP 27-28'!F132</f>
        <v>0</v>
      </c>
      <c r="D7864" s="2" t="str">
        <f t="shared" si="129"/>
        <v>Error?</v>
      </c>
      <c r="E7864" s="4" t="s">
        <v>1992</v>
      </c>
    </row>
    <row r="7865" spans="1:5" x14ac:dyDescent="0.2">
      <c r="A7865">
        <v>7804</v>
      </c>
      <c r="B7865" s="1832">
        <f>'PCTC-OEPP 27-28'!F133</f>
        <v>16432</v>
      </c>
      <c r="D7865" s="2" t="str">
        <f t="shared" si="129"/>
        <v>Error?</v>
      </c>
      <c r="E7865" s="4" t="s">
        <v>1992</v>
      </c>
    </row>
    <row r="7866" spans="1:5" x14ac:dyDescent="0.2">
      <c r="A7866">
        <v>7805</v>
      </c>
      <c r="B7866" s="1832">
        <f>'PCTC-OEPP 27-28'!F158</f>
        <v>0</v>
      </c>
      <c r="D7866" s="2" t="str">
        <f t="shared" si="129"/>
        <v>Error?</v>
      </c>
      <c r="E7866" s="4" t="s">
        <v>1992</v>
      </c>
    </row>
    <row r="7867" spans="1:5" x14ac:dyDescent="0.2">
      <c r="A7867">
        <v>7806</v>
      </c>
      <c r="B7867" s="1832">
        <f>'PCTC-OEPP 27-28'!F160</f>
        <v>0</v>
      </c>
      <c r="D7867" s="2" t="str">
        <f t="shared" si="129"/>
        <v>Error?</v>
      </c>
      <c r="E7867" s="4" t="s">
        <v>1992</v>
      </c>
    </row>
    <row r="7868" spans="1:5" x14ac:dyDescent="0.2">
      <c r="A7868">
        <v>7807</v>
      </c>
      <c r="B7868" s="1832">
        <f>'PCTC-OEPP 27-28'!F161</f>
        <v>0</v>
      </c>
      <c r="D7868" s="2" t="str">
        <f t="shared" si="129"/>
        <v>Error?</v>
      </c>
      <c r="E7868" s="4" t="s">
        <v>1992</v>
      </c>
    </row>
    <row r="7869" spans="1:5" x14ac:dyDescent="0.2">
      <c r="A7869">
        <v>7808</v>
      </c>
      <c r="B7869" s="1832">
        <f>'PCTC-OEPP 27-28'!F162</f>
        <v>13900</v>
      </c>
      <c r="D7869" s="2" t="str">
        <f t="shared" si="129"/>
        <v>Error?</v>
      </c>
      <c r="E7869" s="4" t="s">
        <v>1992</v>
      </c>
    </row>
    <row r="7870" spans="1:5" x14ac:dyDescent="0.2">
      <c r="A7870">
        <v>7809</v>
      </c>
      <c r="B7870" s="1832">
        <f>'PCTC-OEPP 27-28'!F163</f>
        <v>0</v>
      </c>
      <c r="D7870" s="2" t="str">
        <f t="shared" si="129"/>
        <v>Error?</v>
      </c>
      <c r="E7870" s="4" t="s">
        <v>1992</v>
      </c>
    </row>
    <row r="7871" spans="1:5" x14ac:dyDescent="0.2">
      <c r="A7871">
        <v>7810</v>
      </c>
      <c r="B7871" s="1832">
        <f>'PCTC-OEPP 27-28'!F164</f>
        <v>0</v>
      </c>
      <c r="D7871" s="2" t="str">
        <f t="shared" si="129"/>
        <v>Error?</v>
      </c>
      <c r="E7871" s="4" t="s">
        <v>1992</v>
      </c>
    </row>
    <row r="7872" spans="1:5" x14ac:dyDescent="0.2">
      <c r="A7872">
        <v>7811</v>
      </c>
      <c r="B7872" s="1832">
        <f>'PCTC-OEPP 27-28'!F165</f>
        <v>86939</v>
      </c>
      <c r="D7872" s="2" t="str">
        <f t="shared" si="129"/>
        <v>Error?</v>
      </c>
      <c r="E7872" s="4" t="s">
        <v>1992</v>
      </c>
    </row>
    <row r="7873" spans="1:5" x14ac:dyDescent="0.2">
      <c r="A7873">
        <v>7812</v>
      </c>
      <c r="B7873" s="1832">
        <f>'PCTC-OEPP 27-28'!F166</f>
        <v>0</v>
      </c>
      <c r="D7873" s="2" t="str">
        <f t="shared" si="129"/>
        <v>Error?</v>
      </c>
      <c r="E7873" s="4" t="s">
        <v>1992</v>
      </c>
    </row>
    <row r="7874" spans="1:5" x14ac:dyDescent="0.2">
      <c r="A7874">
        <v>7813</v>
      </c>
      <c r="B7874" s="1832">
        <f>'PCTC-OEPP 27-28'!F169</f>
        <v>27894</v>
      </c>
      <c r="D7874" s="2" t="str">
        <f t="shared" si="129"/>
        <v>Error?</v>
      </c>
      <c r="E7874" s="4" t="s">
        <v>1992</v>
      </c>
    </row>
    <row r="7875" spans="1:5" x14ac:dyDescent="0.2">
      <c r="A7875">
        <v>7814</v>
      </c>
      <c r="B7875" s="1832">
        <f>'PCTC-OEPP 27-28'!F170</f>
        <v>228121</v>
      </c>
      <c r="D7875" s="2" t="str">
        <f t="shared" si="129"/>
        <v>Error?</v>
      </c>
      <c r="E7875" s="4" t="s">
        <v>1992</v>
      </c>
    </row>
    <row r="7876" spans="1:5" x14ac:dyDescent="0.2">
      <c r="A7876">
        <v>7815</v>
      </c>
      <c r="B7876" s="1832">
        <f>'PCTC-OEPP 27-28'!F171</f>
        <v>31561</v>
      </c>
      <c r="D7876" s="2" t="str">
        <f t="shared" si="129"/>
        <v>Error?</v>
      </c>
      <c r="E7876" s="4" t="s">
        <v>1992</v>
      </c>
    </row>
    <row r="7877" spans="1:5" x14ac:dyDescent="0.2">
      <c r="A7877">
        <v>7816</v>
      </c>
      <c r="B7877" s="1832">
        <f>'PCTC-OEPP 27-28'!F175</f>
        <v>10259857.060000001</v>
      </c>
      <c r="D7877" s="2" t="str">
        <f t="shared" si="129"/>
        <v>Error?</v>
      </c>
      <c r="E7877" s="4" t="s">
        <v>1992</v>
      </c>
    </row>
    <row r="7878" spans="1:5" x14ac:dyDescent="0.2">
      <c r="A7878">
        <v>7817</v>
      </c>
      <c r="B7878" s="1832">
        <f>'PCTC-OEPP 27-28'!F176</f>
        <v>83547097.939999998</v>
      </c>
      <c r="D7878" s="2" t="str">
        <f t="shared" si="129"/>
        <v>Error?</v>
      </c>
      <c r="E7878" s="4" t="s">
        <v>1992</v>
      </c>
    </row>
    <row r="7879" spans="1:5" x14ac:dyDescent="0.2">
      <c r="A7879">
        <v>7818</v>
      </c>
      <c r="B7879" s="1832">
        <f>'PCTC-OEPP 27-28'!F178</f>
        <v>91751198.939999998</v>
      </c>
      <c r="D7879" s="2" t="str">
        <f t="shared" si="129"/>
        <v>Error?</v>
      </c>
      <c r="E7879" s="4" t="s">
        <v>1992</v>
      </c>
    </row>
    <row r="7880" spans="1:5" x14ac:dyDescent="0.2">
      <c r="A7880">
        <v>7819</v>
      </c>
      <c r="B7880" s="1832">
        <f>'PCTC-OEPP 27-28'!F180</f>
        <v>22619.431240292877</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1180</v>
      </c>
      <c r="B2" s="2513"/>
      <c r="C2" s="2513"/>
      <c r="D2" s="2513"/>
      <c r="E2" s="2513"/>
      <c r="F2" s="2513"/>
      <c r="G2" s="2513"/>
      <c r="H2" s="2513"/>
      <c r="I2" s="2513"/>
      <c r="J2" s="2513"/>
      <c r="K2" s="2513"/>
      <c r="L2" s="2513"/>
    </row>
    <row r="3" spans="1:29" ht="13.5" customHeight="1" x14ac:dyDescent="0.2">
      <c r="A3" s="2545" t="s">
        <v>1179</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36" t="str">
        <f>COVER!A17</f>
        <v xml:space="preserve"> Adlai E Stevenson Dist 125</v>
      </c>
      <c r="B7" s="2537"/>
      <c r="C7" s="2537"/>
      <c r="D7" s="2538"/>
      <c r="E7" s="2539">
        <f>COVER!A13</f>
        <v>34049125013</v>
      </c>
      <c r="F7" s="2540"/>
      <c r="G7" s="2546" t="str">
        <f>COVER!T23</f>
        <v>066-003289</v>
      </c>
      <c r="H7" s="2547"/>
      <c r="I7" s="2547"/>
      <c r="J7" s="2547"/>
      <c r="K7" s="2547"/>
      <c r="L7" s="2548"/>
    </row>
    <row r="8" spans="1:29" ht="13.5" customHeight="1" x14ac:dyDescent="0.2">
      <c r="A8" s="963" t="s">
        <v>1497</v>
      </c>
      <c r="B8" s="964"/>
      <c r="C8" s="965"/>
      <c r="D8" s="965"/>
      <c r="E8" s="970"/>
      <c r="F8" s="969"/>
      <c r="G8" s="971" t="s">
        <v>1175</v>
      </c>
      <c r="H8" s="972"/>
      <c r="I8" s="972"/>
      <c r="J8" s="972"/>
      <c r="K8" s="972"/>
      <c r="L8" s="973"/>
    </row>
    <row r="9" spans="1:29" ht="13.5" customHeight="1" x14ac:dyDescent="0.2">
      <c r="A9" s="2549"/>
      <c r="B9" s="2550"/>
      <c r="C9" s="2550"/>
      <c r="D9" s="2550"/>
      <c r="E9" s="2550"/>
      <c r="F9" s="2551"/>
      <c r="G9" s="2519" t="str">
        <f>COVER!T13</f>
        <v>Evoy, Kamschulte, Jacobs &amp; Co. LLP</v>
      </c>
      <c r="H9" s="2552"/>
      <c r="I9" s="2552"/>
      <c r="J9" s="2552"/>
      <c r="K9" s="2552"/>
      <c r="L9" s="2553"/>
    </row>
    <row r="10" spans="1:29" ht="13.5" customHeight="1" x14ac:dyDescent="0.2">
      <c r="A10" s="2525" t="str">
        <f>COVER!A38</f>
        <v>Dr. Eric Twadell</v>
      </c>
      <c r="B10" s="2526"/>
      <c r="C10" s="2526"/>
      <c r="D10" s="2526"/>
      <c r="E10" s="2526"/>
      <c r="F10" s="2527"/>
      <c r="G10" s="2519" t="str">
        <f>COVER!T17</f>
        <v>2122 Yeoman Street</v>
      </c>
      <c r="H10" s="2520"/>
      <c r="I10" s="2520"/>
      <c r="J10" s="2520"/>
      <c r="K10" s="2520"/>
      <c r="L10" s="2521"/>
    </row>
    <row r="11" spans="1:29" ht="13.5" customHeight="1" x14ac:dyDescent="0.2">
      <c r="A11" s="963" t="s">
        <v>1499</v>
      </c>
      <c r="B11" s="964"/>
      <c r="C11" s="965"/>
      <c r="D11" s="970"/>
      <c r="E11" s="965"/>
      <c r="F11" s="969"/>
      <c r="G11" s="2519" t="str">
        <f>COVER!T19</f>
        <v>Waukegan</v>
      </c>
      <c r="H11" s="2520"/>
      <c r="I11" s="2520"/>
      <c r="J11" s="2520"/>
      <c r="K11" s="2520"/>
      <c r="L11" s="2521"/>
    </row>
    <row r="12" spans="1:29" ht="13.5" customHeight="1" x14ac:dyDescent="0.2">
      <c r="A12" s="2528" t="s">
        <v>1498</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1500</v>
      </c>
      <c r="H13" s="2515"/>
      <c r="I13" s="2531" t="str">
        <f>COVER!T25</f>
        <v>jaceto@ekjllp.com</v>
      </c>
      <c r="J13" s="2532"/>
      <c r="K13" s="2532"/>
      <c r="L13" s="2533"/>
    </row>
    <row r="14" spans="1:29" ht="13.5" customHeight="1" x14ac:dyDescent="0.2">
      <c r="A14" s="2519" t="str">
        <f>COVER!A19</f>
        <v xml:space="preserve">TWO STEVENSON DRIVE </v>
      </c>
      <c r="B14" s="2520"/>
      <c r="C14" s="2520"/>
      <c r="D14" s="2520"/>
      <c r="E14" s="2520"/>
      <c r="F14" s="2521"/>
      <c r="G14" s="974" t="s">
        <v>1174</v>
      </c>
      <c r="H14" s="972"/>
      <c r="I14" s="972"/>
      <c r="J14" s="972"/>
      <c r="K14" s="972"/>
      <c r="L14" s="973"/>
    </row>
    <row r="15" spans="1:29" ht="13.5" customHeight="1" x14ac:dyDescent="0.2">
      <c r="A15" s="2519" t="str">
        <f>COVER!A21</f>
        <v>LINCOLNSHIRE</v>
      </c>
      <c r="B15" s="2520"/>
      <c r="C15" s="2520"/>
      <c r="D15" s="2520"/>
      <c r="E15" s="2520"/>
      <c r="F15" s="2521"/>
      <c r="G15" s="2516" t="str">
        <f>COVER!T15</f>
        <v>John D. Aceto, Jr., CPA</v>
      </c>
      <c r="H15" s="2517"/>
      <c r="I15" s="2517"/>
      <c r="J15" s="2517"/>
      <c r="K15" s="2517"/>
      <c r="L15" s="2518"/>
    </row>
    <row r="16" spans="1:29" ht="12.2" customHeight="1" x14ac:dyDescent="0.2">
      <c r="A16" s="2542">
        <f>COVER!A25</f>
        <v>60069</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1173</v>
      </c>
      <c r="H17" s="972"/>
      <c r="I17" s="972"/>
      <c r="J17" s="972"/>
      <c r="K17" s="976" t="s">
        <v>1172</v>
      </c>
      <c r="L17" s="969"/>
      <c r="M17" s="962"/>
    </row>
    <row r="18" spans="1:13" ht="12.2" customHeight="1" x14ac:dyDescent="0.2">
      <c r="A18" s="2525"/>
      <c r="B18" s="2526"/>
      <c r="C18" s="2526"/>
      <c r="D18" s="2526"/>
      <c r="E18" s="2526"/>
      <c r="F18" s="2527"/>
      <c r="G18" s="2536" t="str">
        <f>COVER!T21</f>
        <v>847-662-8300</v>
      </c>
      <c r="H18" s="2537"/>
      <c r="I18" s="2537"/>
      <c r="J18" s="2537"/>
      <c r="K18" s="2536" t="str">
        <f>COVER!X21</f>
        <v>847-662-8305</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1673</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1674</v>
      </c>
    </row>
    <row r="27" spans="1:13" s="977" customFormat="1" ht="9" customHeight="1" x14ac:dyDescent="0.2">
      <c r="B27" s="982"/>
      <c r="C27" s="981"/>
    </row>
    <row r="28" spans="1:13" s="977" customFormat="1" ht="12.2" customHeight="1" x14ac:dyDescent="0.2">
      <c r="A28" s="984"/>
      <c r="B28" s="980"/>
      <c r="C28" s="981" t="s">
        <v>1675</v>
      </c>
    </row>
    <row r="29" spans="1:13" s="977" customFormat="1" ht="9" customHeight="1" x14ac:dyDescent="0.2">
      <c r="A29" s="984"/>
      <c r="B29" s="982"/>
      <c r="C29" s="981"/>
    </row>
    <row r="30" spans="1:13" s="977" customFormat="1" ht="12.2" customHeight="1" x14ac:dyDescent="0.2">
      <c r="B30" s="980"/>
      <c r="C30" s="981" t="s">
        <v>1542</v>
      </c>
      <c r="D30" s="975"/>
      <c r="E30" s="975"/>
    </row>
    <row r="31" spans="1:13" s="977" customFormat="1" ht="9" customHeight="1" x14ac:dyDescent="0.2">
      <c r="B31" s="982"/>
      <c r="C31" s="981"/>
      <c r="D31" s="975"/>
      <c r="E31" s="975"/>
    </row>
    <row r="32" spans="1:13" s="977" customFormat="1" ht="12.2" customHeight="1" x14ac:dyDescent="0.2">
      <c r="B32" s="980"/>
      <c r="C32" s="981" t="s">
        <v>1543</v>
      </c>
      <c r="D32" s="975"/>
      <c r="E32" s="975"/>
    </row>
    <row r="33" spans="1:8" s="977" customFormat="1" ht="10.9" customHeight="1" x14ac:dyDescent="0.2">
      <c r="B33" s="982"/>
      <c r="C33" s="985" t="s">
        <v>1676</v>
      </c>
      <c r="D33" s="975"/>
      <c r="E33" s="975"/>
    </row>
    <row r="34" spans="1:8" ht="9" customHeight="1" x14ac:dyDescent="0.2">
      <c r="B34" s="982"/>
      <c r="C34" s="985"/>
    </row>
    <row r="35" spans="1:8" s="977" customFormat="1" ht="13.5" customHeight="1" x14ac:dyDescent="0.2">
      <c r="B35" s="980"/>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c r="C38" s="981" t="s">
        <v>1546</v>
      </c>
    </row>
    <row r="39" spans="1:8" ht="9" customHeight="1" x14ac:dyDescent="0.2">
      <c r="B39" s="982"/>
      <c r="C39" s="985"/>
    </row>
    <row r="40" spans="1:8" s="977" customFormat="1" ht="13.5" customHeight="1" x14ac:dyDescent="0.2">
      <c r="B40" s="980"/>
      <c r="C40" s="981" t="s">
        <v>1547</v>
      </c>
    </row>
    <row r="41" spans="1:8" ht="9" customHeight="1" x14ac:dyDescent="0.2">
      <c r="A41" s="986"/>
      <c r="B41" s="982"/>
      <c r="C41" s="985"/>
    </row>
    <row r="42" spans="1:8" s="977" customFormat="1" ht="13.5" customHeight="1" x14ac:dyDescent="0.2">
      <c r="B42" s="980"/>
      <c r="C42" s="981" t="s">
        <v>1803</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541"/>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Adlai E Stevenson Dist 125</v>
      </c>
      <c r="B1" s="2559"/>
      <c r="C1" s="2559"/>
      <c r="D1" s="2559"/>
    </row>
    <row r="2" spans="1:11" s="991" customFormat="1" ht="12.75" x14ac:dyDescent="0.2">
      <c r="A2" s="2560">
        <f>'Single Audit Cover'!E7</f>
        <v>34049125013</v>
      </c>
      <c r="B2" s="2561"/>
      <c r="C2" s="2561"/>
      <c r="D2" s="2561"/>
    </row>
    <row r="3" spans="1:11" s="991" customFormat="1" ht="12.75" x14ac:dyDescent="0.2">
      <c r="A3" s="2558" t="s">
        <v>1493</v>
      </c>
      <c r="B3" s="2559"/>
      <c r="C3" s="2559"/>
      <c r="D3" s="2559"/>
    </row>
    <row r="4" spans="1:11" s="991" customFormat="1" ht="4.5" customHeight="1" x14ac:dyDescent="0.2">
      <c r="A4" s="992"/>
      <c r="B4" s="993"/>
      <c r="C4" s="993"/>
      <c r="D4" s="993"/>
    </row>
    <row r="5" spans="1:11" x14ac:dyDescent="0.2">
      <c r="B5" s="995" t="s">
        <v>1494</v>
      </c>
      <c r="C5" s="996"/>
      <c r="D5" s="997"/>
    </row>
    <row r="6" spans="1:11" x14ac:dyDescent="0.2">
      <c r="B6" s="995" t="s">
        <v>1213</v>
      </c>
      <c r="C6" s="996"/>
      <c r="D6" s="997"/>
    </row>
    <row r="7" spans="1:11" x14ac:dyDescent="0.2">
      <c r="B7" s="995" t="s">
        <v>1495</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1677</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1678</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1679</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1680</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1701</v>
      </c>
      <c r="E24" s="1004"/>
      <c r="F24" s="1004"/>
      <c r="G24" s="1004"/>
      <c r="H24" s="1004"/>
      <c r="I24" s="1004"/>
      <c r="J24" s="1004"/>
      <c r="K24" s="1004"/>
    </row>
    <row r="25" spans="1:11" x14ac:dyDescent="0.2">
      <c r="A25" s="998"/>
      <c r="B25" s="1007"/>
      <c r="D25" s="1006" t="s">
        <v>1681</v>
      </c>
      <c r="E25" s="1004"/>
      <c r="F25" s="1004"/>
      <c r="G25" s="1004"/>
      <c r="H25" s="1004"/>
      <c r="I25" s="1004"/>
      <c r="J25" s="1004"/>
      <c r="K25" s="1004"/>
    </row>
    <row r="26" spans="1:11" x14ac:dyDescent="0.2">
      <c r="A26" s="998"/>
      <c r="B26" s="1007"/>
      <c r="D26" s="1011" t="s">
        <v>1682</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1963</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1683</v>
      </c>
    </row>
    <row r="57" spans="1:4" ht="10.5" customHeight="1" x14ac:dyDescent="0.2">
      <c r="A57" s="998"/>
      <c r="D57" s="1013" t="s">
        <v>1684</v>
      </c>
    </row>
    <row r="58" spans="1:4" x14ac:dyDescent="0.2">
      <c r="A58" s="998"/>
      <c r="C58" s="1020"/>
      <c r="D58" s="1013" t="s">
        <v>1685</v>
      </c>
    </row>
    <row r="59" spans="1:4" ht="10.5" customHeight="1" x14ac:dyDescent="0.2">
      <c r="A59" s="998"/>
      <c r="D59" s="997" t="s">
        <v>1198</v>
      </c>
    </row>
    <row r="60" spans="1:4" ht="10.5" customHeight="1" x14ac:dyDescent="0.2">
      <c r="A60" s="998"/>
      <c r="D60" s="1021" t="s">
        <v>1579</v>
      </c>
    </row>
    <row r="61" spans="1:4" ht="10.5" customHeight="1" x14ac:dyDescent="0.2">
      <c r="A61" s="998"/>
      <c r="C61" s="1020"/>
      <c r="D61" s="1013" t="s">
        <v>1686</v>
      </c>
    </row>
    <row r="62" spans="1:4" ht="10.5" customHeight="1" x14ac:dyDescent="0.2">
      <c r="A62" s="998"/>
      <c r="D62" s="1022" t="s">
        <v>1197</v>
      </c>
    </row>
    <row r="63" spans="1:4" ht="10.5" customHeight="1" x14ac:dyDescent="0.2">
      <c r="A63" s="998"/>
      <c r="D63" s="997" t="s">
        <v>1556</v>
      </c>
    </row>
    <row r="64" spans="1:4" ht="10.5" customHeight="1" x14ac:dyDescent="0.2">
      <c r="A64" s="998"/>
      <c r="D64" s="1021" t="s">
        <v>1578</v>
      </c>
    </row>
    <row r="65" spans="1:4" x14ac:dyDescent="0.2">
      <c r="A65" s="998"/>
      <c r="C65" s="1020"/>
      <c r="D65" s="1013" t="s">
        <v>1687</v>
      </c>
    </row>
    <row r="66" spans="1:4" ht="10.5" customHeight="1" x14ac:dyDescent="0.2">
      <c r="A66" s="998"/>
      <c r="D66" s="1023" t="s">
        <v>1196</v>
      </c>
    </row>
    <row r="67" spans="1:4" ht="10.5" customHeight="1" x14ac:dyDescent="0.2">
      <c r="A67" s="998"/>
      <c r="D67" s="997" t="s">
        <v>1557</v>
      </c>
    </row>
    <row r="68" spans="1:4" ht="10.5" customHeight="1" x14ac:dyDescent="0.2">
      <c r="A68" s="998"/>
      <c r="D68" s="1021" t="s">
        <v>1578</v>
      </c>
    </row>
    <row r="69" spans="1:4" ht="10.5" customHeight="1" x14ac:dyDescent="0.2">
      <c r="A69" s="998"/>
      <c r="C69" s="1020"/>
      <c r="D69" s="1013" t="s">
        <v>1688</v>
      </c>
    </row>
    <row r="70" spans="1:4" x14ac:dyDescent="0.2">
      <c r="A70" s="998"/>
      <c r="D70" s="1022" t="s">
        <v>1195</v>
      </c>
    </row>
    <row r="71" spans="1:4" ht="3" customHeight="1" x14ac:dyDescent="0.2">
      <c r="A71" s="998"/>
      <c r="D71" s="997"/>
    </row>
    <row r="72" spans="1:4" x14ac:dyDescent="0.2">
      <c r="A72" s="998"/>
      <c r="B72" s="1001"/>
      <c r="C72" s="1002">
        <f>C56+1</f>
        <v>18</v>
      </c>
      <c r="D72" s="1023" t="s">
        <v>1689</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1690</v>
      </c>
    </row>
    <row r="77" spans="1:4" ht="3" customHeight="1" x14ac:dyDescent="0.2">
      <c r="A77" s="998"/>
      <c r="B77" s="1005"/>
      <c r="C77" s="1002"/>
      <c r="D77" s="1024"/>
    </row>
    <row r="78" spans="1:4" x14ac:dyDescent="0.2">
      <c r="A78" s="998"/>
      <c r="B78" s="1001"/>
      <c r="C78" s="1002">
        <f>C76+1</f>
        <v>21</v>
      </c>
      <c r="D78" s="997" t="s">
        <v>1691</v>
      </c>
    </row>
    <row r="79" spans="1:4" ht="3" customHeight="1" x14ac:dyDescent="0.2">
      <c r="A79" s="998"/>
      <c r="B79" s="1005"/>
      <c r="C79" s="1002"/>
      <c r="D79" s="997"/>
    </row>
    <row r="80" spans="1:4" x14ac:dyDescent="0.2">
      <c r="A80" s="998"/>
      <c r="B80" s="1001"/>
      <c r="C80" s="1002">
        <f>C78+1</f>
        <v>22</v>
      </c>
      <c r="D80" s="1025" t="s">
        <v>1692</v>
      </c>
    </row>
    <row r="81" spans="1:4" ht="3" customHeight="1" x14ac:dyDescent="0.2">
      <c r="A81" s="998"/>
      <c r="B81" s="1005"/>
      <c r="C81" s="1002"/>
      <c r="D81" s="1025"/>
    </row>
    <row r="82" spans="1:4" x14ac:dyDescent="0.2">
      <c r="A82" s="998"/>
      <c r="B82" s="1001"/>
      <c r="C82" s="1002">
        <f>C80+1</f>
        <v>23</v>
      </c>
      <c r="D82" s="1024" t="s">
        <v>1693</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1694</v>
      </c>
    </row>
    <row r="92" spans="1:4" x14ac:dyDescent="0.2">
      <c r="A92" s="998"/>
      <c r="B92" s="1026"/>
      <c r="C92" s="1020"/>
      <c r="D92" s="1013" t="s">
        <v>1189</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1695</v>
      </c>
    </row>
    <row r="97" spans="1:4" ht="3" customHeight="1" x14ac:dyDescent="0.2">
      <c r="A97" s="998"/>
      <c r="B97" s="1005"/>
      <c r="C97" s="1002"/>
      <c r="D97" s="1013"/>
    </row>
    <row r="98" spans="1:4" x14ac:dyDescent="0.2">
      <c r="A98" s="998"/>
      <c r="B98" s="1001"/>
      <c r="C98" s="1002">
        <f>C96+1</f>
        <v>29</v>
      </c>
      <c r="D98" s="1027" t="s">
        <v>1696</v>
      </c>
    </row>
    <row r="99" spans="1:4" ht="3" customHeight="1" x14ac:dyDescent="0.2">
      <c r="A99" s="998"/>
      <c r="B99" s="1005"/>
      <c r="C99" s="1002"/>
      <c r="D99" s="1027"/>
    </row>
    <row r="100" spans="1:4" x14ac:dyDescent="0.2">
      <c r="A100" s="998"/>
      <c r="B100" s="1001"/>
      <c r="C100" s="1002">
        <f>C98+1</f>
        <v>30</v>
      </c>
      <c r="D100" s="1013" t="s">
        <v>1697</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1698</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1699</v>
      </c>
    </row>
    <row r="118" spans="1:4" ht="3" customHeight="1" x14ac:dyDescent="0.2">
      <c r="A118" s="998"/>
      <c r="B118" s="1005"/>
      <c r="C118" s="1002"/>
      <c r="D118" s="1013"/>
    </row>
    <row r="119" spans="1:4" x14ac:dyDescent="0.2">
      <c r="A119" s="998"/>
      <c r="B119" s="1001"/>
      <c r="C119" s="1002">
        <f>C117+1</f>
        <v>38</v>
      </c>
      <c r="D119" s="1013" t="s">
        <v>1700</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1804</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Adlai E Stevenson Dist 125</v>
      </c>
      <c r="B1" s="2563"/>
      <c r="C1" s="2563"/>
      <c r="D1" s="2563"/>
      <c r="E1" s="2563"/>
    </row>
    <row r="2" spans="1:5" x14ac:dyDescent="0.2">
      <c r="A2" s="2564">
        <f>'Single Audit Cover'!E7</f>
        <v>34049125013</v>
      </c>
      <c r="B2" s="2564"/>
      <c r="C2" s="2564"/>
      <c r="D2" s="2564"/>
      <c r="E2" s="2564"/>
    </row>
    <row r="3" spans="1:5" ht="4.5" customHeight="1" x14ac:dyDescent="0.2"/>
    <row r="4" spans="1:5" x14ac:dyDescent="0.2">
      <c r="A4" s="2563" t="s">
        <v>1233</v>
      </c>
      <c r="B4" s="2563"/>
      <c r="C4" s="2563"/>
      <c r="D4" s="2563"/>
      <c r="E4" s="2563"/>
    </row>
    <row r="5" spans="1:5" x14ac:dyDescent="0.2">
      <c r="A5" s="2566" t="str">
        <f>'Single Audit Cover'!A4</f>
        <v>Year Ending June 30, 2020</v>
      </c>
      <c r="B5" s="2566"/>
      <c r="C5" s="2566"/>
      <c r="D5" s="2566"/>
      <c r="E5" s="2566"/>
    </row>
    <row r="6" spans="1:5" x14ac:dyDescent="0.2">
      <c r="A6" s="2563" t="s">
        <v>1232</v>
      </c>
      <c r="B6" s="2563"/>
      <c r="C6" s="2563"/>
      <c r="D6" s="2563"/>
      <c r="E6" s="2563"/>
    </row>
    <row r="8" spans="1:5" x14ac:dyDescent="0.2">
      <c r="A8" s="1036" t="s">
        <v>1231</v>
      </c>
    </row>
    <row r="10" spans="1:5" x14ac:dyDescent="0.2">
      <c r="A10" s="1037" t="s">
        <v>1230</v>
      </c>
      <c r="B10" s="1038" t="s">
        <v>1229</v>
      </c>
      <c r="C10" s="1038"/>
      <c r="D10" s="1039">
        <f>SUM('Acct Summary 7-8'!C7:K7)</f>
        <v>1640407</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1998</v>
      </c>
      <c r="B14" s="1038"/>
      <c r="C14" s="1038"/>
      <c r="D14" s="1040">
        <f>'ICR Computation 30'!E11</f>
        <v>0</v>
      </c>
    </row>
    <row r="15" spans="1:5" x14ac:dyDescent="0.2">
      <c r="A15" s="1037"/>
      <c r="B15" s="1038"/>
      <c r="C15" s="1038"/>
    </row>
    <row r="16" spans="1:5" x14ac:dyDescent="0.2">
      <c r="A16" s="1037" t="s">
        <v>1809</v>
      </c>
      <c r="B16" s="1038"/>
      <c r="C16" s="1038"/>
    </row>
    <row r="17" spans="1:4" x14ac:dyDescent="0.2">
      <c r="A17" s="1037" t="s">
        <v>1958</v>
      </c>
      <c r="B17" s="1038" t="s">
        <v>1224</v>
      </c>
      <c r="C17" s="1038"/>
      <c r="D17" s="1040">
        <f>-SUM('Revenues 9-14'!C264:D264,'Revenues 9-14'!F264:G264)</f>
        <v>-228121</v>
      </c>
    </row>
    <row r="19" spans="1:4" ht="13.5" thickBot="1" x14ac:dyDescent="0.25">
      <c r="A19" s="1041" t="s">
        <v>1223</v>
      </c>
      <c r="D19" s="1042">
        <f>SUM(D10:D17)</f>
        <v>1412286</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1221</v>
      </c>
      <c r="D32" s="1039">
        <f>SUM(D19:D30)</f>
        <v>1412286</v>
      </c>
    </row>
    <row r="33" spans="1:4" x14ac:dyDescent="0.2">
      <c r="D33" s="1045"/>
    </row>
    <row r="34" spans="1:4" x14ac:dyDescent="0.2">
      <c r="A34" s="295" t="s">
        <v>1220</v>
      </c>
    </row>
    <row r="35" spans="1:4" x14ac:dyDescent="0.2">
      <c r="A35" s="295" t="s">
        <v>1219</v>
      </c>
      <c r="B35" s="1034" t="s">
        <v>1218</v>
      </c>
      <c r="D35" s="1046">
        <v>1412286</v>
      </c>
    </row>
    <row r="37" spans="1:4" x14ac:dyDescent="0.2">
      <c r="A37" s="1036" t="s">
        <v>1217</v>
      </c>
    </row>
    <row r="39" spans="1:4" ht="13.35" customHeight="1" x14ac:dyDescent="0.2">
      <c r="A39" s="1043" t="s">
        <v>1216</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1215</v>
      </c>
      <c r="C47" s="1048"/>
      <c r="D47" s="1049">
        <f>SUM(D35:D45)</f>
        <v>1412286</v>
      </c>
    </row>
    <row r="49" spans="2:4" x14ac:dyDescent="0.2">
      <c r="B49" s="1048" t="s">
        <v>1214</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22" sqref="I2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Adlai E Stevenson Dist 125</v>
      </c>
      <c r="C1" s="2567"/>
      <c r="D1" s="2567"/>
      <c r="E1" s="2567"/>
      <c r="F1" s="2567"/>
      <c r="G1" s="2567"/>
      <c r="H1" s="2567"/>
      <c r="I1" s="2567"/>
      <c r="J1" s="2567"/>
      <c r="K1" s="2567"/>
      <c r="L1" s="2567"/>
      <c r="M1" s="2567"/>
    </row>
    <row r="2" spans="2:14" ht="15" x14ac:dyDescent="0.2">
      <c r="B2" s="2568">
        <f>'Single Audit Cover'!E7</f>
        <v>34049125013</v>
      </c>
      <c r="C2" s="2568"/>
      <c r="D2" s="2568"/>
      <c r="E2" s="2568"/>
      <c r="F2" s="2568"/>
      <c r="G2" s="2568"/>
      <c r="H2" s="2568"/>
      <c r="I2" s="2568"/>
      <c r="J2" s="2568"/>
      <c r="K2" s="2568"/>
      <c r="L2" s="2568"/>
      <c r="M2" s="2568"/>
      <c r="N2" s="1078"/>
    </row>
    <row r="3" spans="2:14" ht="15" x14ac:dyDescent="0.2">
      <c r="B3" s="2569" t="s">
        <v>1207</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1253</v>
      </c>
      <c r="E6" s="1082" t="s">
        <v>524</v>
      </c>
      <c r="F6" s="1083"/>
      <c r="G6" s="1084" t="s">
        <v>1705</v>
      </c>
      <c r="H6" s="1082"/>
      <c r="I6" s="1082"/>
      <c r="J6" s="1916"/>
      <c r="K6" s="1085"/>
      <c r="L6" s="1086"/>
      <c r="M6" s="1087"/>
    </row>
    <row r="7" spans="2:14" x14ac:dyDescent="0.2">
      <c r="B7" s="1088" t="s">
        <v>1561</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1706</v>
      </c>
      <c r="D9" s="1090" t="s">
        <v>1707</v>
      </c>
      <c r="E9" s="1914" t="str">
        <f>"7/1/"&amp;MID('AFR20'!$E$2,3,2)-2&amp;"-6/30/"&amp;MID('AFR20'!$E$2,3,2)-1</f>
        <v>7/1/18-6/30/19</v>
      </c>
      <c r="F9" s="1914" t="str">
        <f>"7/1/"&amp;MID('AFR20'!$E$2,3,2)-1&amp;"-6/30/"&amp;MID('AFR20'!$E$2,3,2)</f>
        <v>7/1/19-6/30/20</v>
      </c>
      <c r="G9" s="1914" t="str">
        <f>"7/1/"&amp;MID('AFR20'!$E$2,3,2)-2&amp;"-6/30/"&amp;MID('AFR20'!$E$2,3,2)-1</f>
        <v>7/1/18-6/30/19</v>
      </c>
      <c r="H9" s="1093" t="s">
        <v>1562</v>
      </c>
      <c r="I9" s="1914" t="str">
        <f>"7/1/"&amp;MID('AFR20'!$E$2,3,2)-1&amp;"-6/30/"&amp;MID('AFR20'!$E$2,3,2)</f>
        <v>7/1/19-6/30/20</v>
      </c>
      <c r="J9" s="1094" t="s">
        <v>1562</v>
      </c>
      <c r="K9" s="1095" t="s">
        <v>1246</v>
      </c>
      <c r="L9" s="1102" t="s">
        <v>1563</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2062</v>
      </c>
      <c r="C11" s="1821"/>
      <c r="D11" s="1822"/>
      <c r="E11" s="1823"/>
      <c r="F11" s="1823"/>
      <c r="G11" s="1823"/>
      <c r="H11" s="1823"/>
      <c r="I11" s="1823"/>
      <c r="J11" s="1823"/>
      <c r="K11" s="1823"/>
      <c r="L11" s="1823">
        <f>+G11+I11+K11</f>
        <v>0</v>
      </c>
      <c r="M11" s="1823"/>
    </row>
    <row r="12" spans="2:14" ht="20.100000000000001" customHeight="1" x14ac:dyDescent="0.2">
      <c r="B12" s="1113" t="s">
        <v>2063</v>
      </c>
      <c r="C12" s="1824"/>
      <c r="D12" s="1825"/>
      <c r="E12" s="1826"/>
      <c r="F12" s="1826"/>
      <c r="G12" s="1826"/>
      <c r="H12" s="1826"/>
      <c r="I12" s="1826"/>
      <c r="J12" s="1826"/>
      <c r="K12" s="1826"/>
      <c r="L12" s="1823">
        <f t="shared" ref="L12:L27" si="0">+G12+I12+K12</f>
        <v>0</v>
      </c>
      <c r="M12" s="1826"/>
    </row>
    <row r="13" spans="2:14" ht="20.100000000000001" customHeight="1" x14ac:dyDescent="0.2">
      <c r="B13" s="1113" t="s">
        <v>2064</v>
      </c>
      <c r="C13" s="1824"/>
      <c r="D13" s="1825"/>
      <c r="E13" s="1826"/>
      <c r="F13" s="1826"/>
      <c r="G13" s="1826"/>
      <c r="H13" s="1826"/>
      <c r="I13" s="1826"/>
      <c r="J13" s="1826"/>
      <c r="K13" s="1826"/>
      <c r="L13" s="1823">
        <f t="shared" si="0"/>
        <v>0</v>
      </c>
      <c r="M13" s="1826"/>
    </row>
    <row r="14" spans="2:14" ht="20.100000000000001" customHeight="1" x14ac:dyDescent="0.2">
      <c r="B14" s="1113" t="s">
        <v>2065</v>
      </c>
      <c r="C14" s="1824" t="s">
        <v>2069</v>
      </c>
      <c r="D14" s="1825" t="s">
        <v>2070</v>
      </c>
      <c r="E14" s="1826">
        <v>429227</v>
      </c>
      <c r="F14" s="1826">
        <v>222573</v>
      </c>
      <c r="G14" s="1826">
        <v>533665</v>
      </c>
      <c r="H14" s="1826"/>
      <c r="I14" s="1826">
        <v>118135</v>
      </c>
      <c r="J14" s="1826"/>
      <c r="K14" s="1826"/>
      <c r="L14" s="1823">
        <f t="shared" si="0"/>
        <v>651800</v>
      </c>
      <c r="M14" s="1826" t="s">
        <v>2074</v>
      </c>
    </row>
    <row r="15" spans="2:14" ht="20.100000000000001" customHeight="1" x14ac:dyDescent="0.2">
      <c r="B15" s="1113" t="s">
        <v>2065</v>
      </c>
      <c r="C15" s="1824" t="s">
        <v>2069</v>
      </c>
      <c r="D15" s="1825" t="s">
        <v>2071</v>
      </c>
      <c r="E15" s="1826"/>
      <c r="F15" s="1826">
        <v>379564</v>
      </c>
      <c r="G15" s="1826"/>
      <c r="H15" s="1826"/>
      <c r="I15" s="1826">
        <v>421738</v>
      </c>
      <c r="J15" s="1826"/>
      <c r="K15" s="1826"/>
      <c r="L15" s="1823">
        <f t="shared" si="0"/>
        <v>421738</v>
      </c>
      <c r="M15" s="1826" t="s">
        <v>2074</v>
      </c>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t="s">
        <v>2067</v>
      </c>
      <c r="C19" s="1824" t="s">
        <v>2069</v>
      </c>
      <c r="D19" s="1825" t="s">
        <v>2072</v>
      </c>
      <c r="E19" s="1826">
        <v>479050</v>
      </c>
      <c r="F19" s="1826">
        <v>2860</v>
      </c>
      <c r="G19" s="1826">
        <v>481910</v>
      </c>
      <c r="H19" s="1826"/>
      <c r="I19" s="1826"/>
      <c r="J19" s="1826"/>
      <c r="K19" s="1826"/>
      <c r="L19" s="1823">
        <f t="shared" si="0"/>
        <v>481910</v>
      </c>
      <c r="M19" s="1826">
        <v>488692</v>
      </c>
    </row>
    <row r="20" spans="2:14" ht="20.100000000000001" customHeight="1" x14ac:dyDescent="0.2">
      <c r="B20" s="1113" t="s">
        <v>2067</v>
      </c>
      <c r="C20" s="1824" t="s">
        <v>2069</v>
      </c>
      <c r="D20" s="1825" t="s">
        <v>2073</v>
      </c>
      <c r="E20" s="1826"/>
      <c r="F20" s="1826">
        <v>630563</v>
      </c>
      <c r="G20" s="1826"/>
      <c r="H20" s="1826"/>
      <c r="I20" s="1826">
        <v>630563</v>
      </c>
      <c r="J20" s="1826"/>
      <c r="K20" s="1826"/>
      <c r="L20" s="1823">
        <f t="shared" si="0"/>
        <v>630563</v>
      </c>
      <c r="M20" s="1826">
        <v>640509</v>
      </c>
    </row>
    <row r="21" spans="2:14" ht="20.100000000000001" customHeight="1" x14ac:dyDescent="0.2">
      <c r="B21" s="1113" t="s">
        <v>2066</v>
      </c>
      <c r="C21" s="1824"/>
      <c r="D21" s="1825"/>
      <c r="E21" s="1826">
        <v>908277</v>
      </c>
      <c r="F21" s="1826">
        <v>1235560</v>
      </c>
      <c r="G21" s="1826">
        <v>1015575</v>
      </c>
      <c r="H21" s="1826"/>
      <c r="I21" s="1826">
        <v>1170436</v>
      </c>
      <c r="J21" s="1826"/>
      <c r="K21" s="1826"/>
      <c r="L21" s="1823">
        <f t="shared" si="0"/>
        <v>2186011</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2068</v>
      </c>
      <c r="C23" s="1824"/>
      <c r="D23" s="1825"/>
      <c r="E23" s="1826">
        <v>908277</v>
      </c>
      <c r="F23" s="1826">
        <v>1235560</v>
      </c>
      <c r="G23" s="1826">
        <v>1015575</v>
      </c>
      <c r="H23" s="1826"/>
      <c r="I23" s="1826">
        <v>1170436</v>
      </c>
      <c r="J23" s="1826"/>
      <c r="K23" s="1826"/>
      <c r="L23" s="1823">
        <f t="shared" si="0"/>
        <v>2186011</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1708</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1806</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1709</v>
      </c>
      <c r="C37" s="1135"/>
      <c r="D37" s="1135"/>
      <c r="E37" s="1135"/>
      <c r="F37" s="1135"/>
      <c r="G37" s="1135"/>
      <c r="H37" s="1135"/>
      <c r="I37" s="1136"/>
      <c r="J37" s="1136"/>
      <c r="K37" s="1136"/>
      <c r="L37" s="1136"/>
      <c r="M37" s="1136"/>
    </row>
    <row r="38" spans="2:13" ht="11.25" customHeight="1" x14ac:dyDescent="0.2">
      <c r="B38" s="1137" t="s">
        <v>1564</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1710</v>
      </c>
      <c r="C40" s="1136"/>
      <c r="D40" s="1136"/>
      <c r="E40" s="1136"/>
      <c r="F40" s="1136"/>
      <c r="G40" s="1136"/>
      <c r="H40" s="1136"/>
      <c r="I40" s="1136"/>
      <c r="J40" s="1136"/>
      <c r="K40" s="1136"/>
      <c r="L40" s="1136"/>
      <c r="M40" s="1136"/>
    </row>
    <row r="41" spans="2:13" ht="11.25" customHeight="1" x14ac:dyDescent="0.2">
      <c r="B41" s="1076" t="s">
        <v>1565</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1711</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1712</v>
      </c>
      <c r="C45" s="1138"/>
      <c r="D45" s="1139"/>
      <c r="E45" s="1076"/>
      <c r="F45" s="1076"/>
      <c r="G45" s="1076"/>
      <c r="H45" s="1076"/>
      <c r="I45" s="1076"/>
      <c r="J45" s="1076"/>
      <c r="K45" s="1140"/>
      <c r="L45" s="1140"/>
      <c r="M45" s="1076"/>
    </row>
    <row r="46" spans="2:13" ht="11.25" customHeight="1" x14ac:dyDescent="0.2">
      <c r="B46" s="1076" t="s">
        <v>1566</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I24" sqref="I2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Adlai E Stevenson Dist 125</v>
      </c>
      <c r="C1" s="2567"/>
      <c r="D1" s="2567"/>
      <c r="E1" s="2567"/>
      <c r="F1" s="2567"/>
      <c r="G1" s="2567"/>
      <c r="H1" s="2567"/>
      <c r="I1" s="2567"/>
      <c r="J1" s="2567"/>
      <c r="K1" s="2567"/>
      <c r="L1" s="2567"/>
      <c r="M1" s="2567"/>
    </row>
    <row r="2" spans="2:14" ht="15" x14ac:dyDescent="0.2">
      <c r="B2" s="2568">
        <f>'Single Audit Cover'!E7</f>
        <v>34049125013</v>
      </c>
      <c r="C2" s="2568"/>
      <c r="D2" s="2568"/>
      <c r="E2" s="2568"/>
      <c r="F2" s="2568"/>
      <c r="G2" s="2568"/>
      <c r="H2" s="2568"/>
      <c r="I2" s="2568"/>
      <c r="J2" s="2568"/>
      <c r="K2" s="2568"/>
      <c r="L2" s="2568"/>
      <c r="M2" s="2568"/>
      <c r="N2" s="1078"/>
    </row>
    <row r="3" spans="2:14" ht="15" x14ac:dyDescent="0.2">
      <c r="B3" s="2569" t="s">
        <v>1207</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1253</v>
      </c>
      <c r="E6" s="1082" t="s">
        <v>524</v>
      </c>
      <c r="F6" s="1083"/>
      <c r="G6" s="1084" t="s">
        <v>1705</v>
      </c>
      <c r="H6" s="1082"/>
      <c r="I6" s="1082"/>
      <c r="J6" s="1916"/>
      <c r="K6" s="1085"/>
      <c r="L6" s="1086"/>
      <c r="M6" s="1087"/>
    </row>
    <row r="7" spans="2:14" x14ac:dyDescent="0.2">
      <c r="B7" s="1088" t="s">
        <v>1561</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1706</v>
      </c>
      <c r="D9" s="1090" t="s">
        <v>1707</v>
      </c>
      <c r="E9" s="1914" t="str">
        <f>"7/1/"&amp;MID('AFR20'!$E$2,3,2)-2&amp;"-6/30/"&amp;MID('AFR20'!$E$2,3,2)-1</f>
        <v>7/1/18-6/30/19</v>
      </c>
      <c r="F9" s="1914" t="str">
        <f>"7/1/"&amp;MID('AFR20'!$E$2,3,2)-1&amp;"-6/30/"&amp;MID('AFR20'!$E$2,3,2)</f>
        <v>7/1/19-6/30/20</v>
      </c>
      <c r="G9" s="1914" t="str">
        <f>"7/1/"&amp;MID('AFR20'!$E$2,3,2)-2&amp;"-6/30/"&amp;MID('AFR20'!$E$2,3,2)-1</f>
        <v>7/1/18-6/30/19</v>
      </c>
      <c r="H9" s="1093" t="s">
        <v>1562</v>
      </c>
      <c r="I9" s="1914" t="str">
        <f>"7/1/"&amp;MID('AFR20'!$E$2,3,2)-1&amp;"-6/30/"&amp;MID('AFR20'!$E$2,3,2)</f>
        <v>7/1/19-6/30/20</v>
      </c>
      <c r="J9" s="1094" t="s">
        <v>1562</v>
      </c>
      <c r="K9" s="1095" t="s">
        <v>1246</v>
      </c>
      <c r="L9" s="1102" t="s">
        <v>1563</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2062</v>
      </c>
      <c r="C11" s="1821"/>
      <c r="D11" s="1822"/>
      <c r="E11" s="1823"/>
      <c r="F11" s="1823"/>
      <c r="G11" s="1823"/>
      <c r="H11" s="1823"/>
      <c r="I11" s="1823"/>
      <c r="J11" s="1823"/>
      <c r="K11" s="1823"/>
      <c r="L11" s="1823">
        <f>+G11+I11+K11</f>
        <v>0</v>
      </c>
      <c r="M11" s="1823"/>
    </row>
    <row r="12" spans="2:14" ht="20.100000000000001" customHeight="1" x14ac:dyDescent="0.2">
      <c r="B12" s="1113" t="s">
        <v>2063</v>
      </c>
      <c r="C12" s="1824"/>
      <c r="D12" s="1825"/>
      <c r="E12" s="1826"/>
      <c r="F12" s="1826"/>
      <c r="G12" s="1826"/>
      <c r="H12" s="1826"/>
      <c r="I12" s="1826"/>
      <c r="J12" s="1826"/>
      <c r="K12" s="1826"/>
      <c r="L12" s="1823">
        <f t="shared" ref="L12:L27" si="0">+G12+I12+K12</f>
        <v>0</v>
      </c>
      <c r="M12" s="1826"/>
    </row>
    <row r="13" spans="2:14" ht="20.100000000000001" customHeight="1" x14ac:dyDescent="0.2">
      <c r="B13" s="1113" t="s">
        <v>2075</v>
      </c>
      <c r="C13" s="1824" t="s">
        <v>2076</v>
      </c>
      <c r="D13" s="1825" t="s">
        <v>2077</v>
      </c>
      <c r="E13" s="1826">
        <v>29220</v>
      </c>
      <c r="F13" s="1826">
        <v>24488</v>
      </c>
      <c r="G13" s="1826">
        <v>53708</v>
      </c>
      <c r="H13" s="1826"/>
      <c r="I13" s="1826"/>
      <c r="J13" s="1826"/>
      <c r="K13" s="1826"/>
      <c r="L13" s="1823">
        <f t="shared" si="0"/>
        <v>53708</v>
      </c>
      <c r="M13" s="1826">
        <v>56593</v>
      </c>
    </row>
    <row r="14" spans="2:14" ht="20.100000000000001" customHeight="1" x14ac:dyDescent="0.2">
      <c r="B14" s="1113" t="s">
        <v>2075</v>
      </c>
      <c r="C14" s="1824" t="s">
        <v>2076</v>
      </c>
      <c r="D14" s="1825" t="s">
        <v>2078</v>
      </c>
      <c r="E14" s="1826"/>
      <c r="F14" s="1826">
        <v>62451</v>
      </c>
      <c r="G14" s="1826"/>
      <c r="H14" s="1826"/>
      <c r="I14" s="1826">
        <v>62451</v>
      </c>
      <c r="J14" s="1826"/>
      <c r="K14" s="1826"/>
      <c r="L14" s="1823">
        <f t="shared" si="0"/>
        <v>62451</v>
      </c>
      <c r="M14" s="1826">
        <v>117077</v>
      </c>
    </row>
    <row r="15" spans="2:14" ht="20.100000000000001" customHeight="1" x14ac:dyDescent="0.2">
      <c r="B15" s="1113" t="s">
        <v>2079</v>
      </c>
      <c r="C15" s="1824" t="s">
        <v>2080</v>
      </c>
      <c r="D15" s="1825" t="s">
        <v>2081</v>
      </c>
      <c r="E15" s="1826"/>
      <c r="F15" s="1826">
        <v>13900</v>
      </c>
      <c r="G15" s="1826"/>
      <c r="H15" s="1826"/>
      <c r="I15" s="1826">
        <v>13900</v>
      </c>
      <c r="J15" s="1826"/>
      <c r="K15" s="1826"/>
      <c r="L15" s="1823">
        <f t="shared" si="0"/>
        <v>13900</v>
      </c>
      <c r="M15" s="1826">
        <v>13900</v>
      </c>
    </row>
    <row r="16" spans="2:14" ht="20.100000000000001" customHeight="1" x14ac:dyDescent="0.2">
      <c r="B16" s="1113" t="s">
        <v>2082</v>
      </c>
      <c r="C16" s="1824"/>
      <c r="D16" s="1825"/>
      <c r="E16" s="1826">
        <v>29220</v>
      </c>
      <c r="F16" s="1826">
        <v>100839</v>
      </c>
      <c r="G16" s="1826">
        <v>53708</v>
      </c>
      <c r="H16" s="1826"/>
      <c r="I16" s="1826">
        <v>76351</v>
      </c>
      <c r="J16" s="1826"/>
      <c r="K16" s="1826"/>
      <c r="L16" s="1823">
        <f t="shared" si="0"/>
        <v>130059</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t="s">
        <v>2083</v>
      </c>
      <c r="C18" s="1824"/>
      <c r="D18" s="1825"/>
      <c r="E18" s="1826"/>
      <c r="F18" s="1826"/>
      <c r="G18" s="1826"/>
      <c r="H18" s="1826"/>
      <c r="I18" s="1826"/>
      <c r="J18" s="1826"/>
      <c r="K18" s="1826"/>
      <c r="L18" s="1823">
        <f t="shared" si="0"/>
        <v>0</v>
      </c>
      <c r="M18" s="1826"/>
    </row>
    <row r="19" spans="2:14" ht="20.100000000000001" customHeight="1" x14ac:dyDescent="0.2">
      <c r="B19" s="1113" t="s">
        <v>2084</v>
      </c>
      <c r="C19" s="1824" t="s">
        <v>2086</v>
      </c>
      <c r="D19" s="1825" t="s">
        <v>2087</v>
      </c>
      <c r="E19" s="1826">
        <v>16432</v>
      </c>
      <c r="F19" s="1826"/>
      <c r="G19" s="1826">
        <v>16432</v>
      </c>
      <c r="H19" s="1826"/>
      <c r="I19" s="1826"/>
      <c r="J19" s="1826"/>
      <c r="K19" s="1826"/>
      <c r="L19" s="1823">
        <f t="shared" si="0"/>
        <v>16432</v>
      </c>
      <c r="M19" s="1826">
        <v>16432</v>
      </c>
    </row>
    <row r="20" spans="2:14" ht="20.100000000000001" customHeight="1" x14ac:dyDescent="0.2">
      <c r="B20" s="1113" t="s">
        <v>2084</v>
      </c>
      <c r="C20" s="1824" t="s">
        <v>2086</v>
      </c>
      <c r="D20" s="1825" t="s">
        <v>2088</v>
      </c>
      <c r="E20" s="1826"/>
      <c r="F20" s="1826">
        <v>16432</v>
      </c>
      <c r="G20" s="1826"/>
      <c r="H20" s="1826"/>
      <c r="I20" s="1826">
        <v>16432</v>
      </c>
      <c r="J20" s="1826"/>
      <c r="K20" s="1826"/>
      <c r="L20" s="1823">
        <f t="shared" si="0"/>
        <v>16432</v>
      </c>
      <c r="M20" s="1826">
        <v>16432</v>
      </c>
    </row>
    <row r="21" spans="2:14" ht="20.100000000000001" customHeight="1" x14ac:dyDescent="0.2">
      <c r="B21" s="1113" t="s">
        <v>2085</v>
      </c>
      <c r="C21" s="1824"/>
      <c r="D21" s="1825"/>
      <c r="E21" s="1826">
        <v>16432</v>
      </c>
      <c r="F21" s="1826">
        <v>16432</v>
      </c>
      <c r="G21" s="1826">
        <v>16432</v>
      </c>
      <c r="H21" s="1826"/>
      <c r="I21" s="1826">
        <v>16432</v>
      </c>
      <c r="J21" s="1826"/>
      <c r="K21" s="1826"/>
      <c r="L21" s="1823">
        <f t="shared" si="0"/>
        <v>32864</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2089</v>
      </c>
      <c r="C23" s="1824"/>
      <c r="D23" s="1825"/>
      <c r="E23" s="1826">
        <v>953929</v>
      </c>
      <c r="F23" s="1826">
        <v>1352831</v>
      </c>
      <c r="G23" s="1826">
        <v>1085715</v>
      </c>
      <c r="H23" s="1826"/>
      <c r="I23" s="1826">
        <v>1263219</v>
      </c>
      <c r="J23" s="1826"/>
      <c r="K23" s="1826"/>
      <c r="L23" s="1823">
        <f t="shared" si="0"/>
        <v>2348934</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1708</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1806</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1709</v>
      </c>
      <c r="C37" s="1135"/>
      <c r="D37" s="1135"/>
      <c r="E37" s="1135"/>
      <c r="F37" s="1135"/>
      <c r="G37" s="1135"/>
      <c r="H37" s="1135"/>
      <c r="I37" s="1136"/>
      <c r="J37" s="1136"/>
      <c r="K37" s="1136"/>
      <c r="L37" s="1136"/>
      <c r="M37" s="1136"/>
    </row>
    <row r="38" spans="2:13" ht="11.25" customHeight="1" x14ac:dyDescent="0.2">
      <c r="B38" s="1137" t="s">
        <v>1564</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1710</v>
      </c>
      <c r="C40" s="1136"/>
      <c r="D40" s="1136"/>
      <c r="E40" s="1136"/>
      <c r="F40" s="1136"/>
      <c r="G40" s="1136"/>
      <c r="H40" s="1136"/>
      <c r="I40" s="1136"/>
      <c r="J40" s="1136"/>
      <c r="K40" s="1136"/>
      <c r="L40" s="1136"/>
      <c r="M40" s="1136"/>
    </row>
    <row r="41" spans="2:13" ht="11.25" customHeight="1" x14ac:dyDescent="0.2">
      <c r="B41" s="1076" t="s">
        <v>1565</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1711</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1712</v>
      </c>
      <c r="C45" s="1138"/>
      <c r="D45" s="1139"/>
      <c r="E45" s="1076"/>
      <c r="F45" s="1076"/>
      <c r="G45" s="1076"/>
      <c r="H45" s="1076"/>
      <c r="I45" s="1076"/>
      <c r="J45" s="1076"/>
      <c r="K45" s="1140"/>
      <c r="L45" s="1140"/>
      <c r="M45" s="1076"/>
    </row>
    <row r="46" spans="2:13" ht="11.25" customHeight="1" x14ac:dyDescent="0.2">
      <c r="B46" s="1076" t="s">
        <v>1566</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2"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1157</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9" t="s">
        <v>1613</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2042</v>
      </c>
      <c r="C53" s="174">
        <v>22</v>
      </c>
      <c r="D53" s="242" t="s">
        <v>1442</v>
      </c>
      <c r="E53" s="243"/>
      <c r="F53" s="244"/>
      <c r="G53" s="244" t="s">
        <v>1441</v>
      </c>
      <c r="H53" s="245">
        <v>33604</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1311</v>
      </c>
      <c r="B70" s="2172"/>
      <c r="C70" s="2172"/>
      <c r="D70" s="2172"/>
      <c r="E70" s="2173"/>
      <c r="F70" s="2173"/>
      <c r="G70" s="2173"/>
      <c r="H70" s="2173"/>
      <c r="I70" s="2173"/>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1308</v>
      </c>
      <c r="B83" s="2174"/>
      <c r="C83" s="2174"/>
      <c r="D83" s="2175"/>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85" t="s">
        <v>1983</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187" t="s">
        <v>1983</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2048</v>
      </c>
      <c r="D114" s="2165"/>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1318</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1867</v>
      </c>
      <c r="G119" s="306"/>
      <c r="H119" s="306"/>
      <c r="I119" s="282"/>
    </row>
    <row r="120" spans="1:9" x14ac:dyDescent="0.2">
      <c r="A120" s="307"/>
      <c r="B120" s="175"/>
      <c r="C120" s="308"/>
      <c r="D120" s="251"/>
      <c r="E120" s="251"/>
      <c r="F120" s="251"/>
      <c r="G120" s="251"/>
      <c r="H120" s="251"/>
      <c r="I120" s="282"/>
    </row>
    <row r="121" spans="1:9" x14ac:dyDescent="0.2">
      <c r="A121" s="307"/>
      <c r="B121" s="1259"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I20" sqref="I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Adlai E Stevenson Dist 125</v>
      </c>
      <c r="C1" s="2567"/>
      <c r="D1" s="2567"/>
      <c r="E1" s="2567"/>
      <c r="F1" s="2567"/>
      <c r="G1" s="2567"/>
      <c r="H1" s="2567"/>
      <c r="I1" s="2567"/>
      <c r="J1" s="2567"/>
      <c r="K1" s="2567"/>
      <c r="L1" s="2567"/>
      <c r="M1" s="2567"/>
    </row>
    <row r="2" spans="2:14" ht="15" x14ac:dyDescent="0.2">
      <c r="B2" s="2568">
        <f>'Single Audit Cover'!E7</f>
        <v>34049125013</v>
      </c>
      <c r="C2" s="2568"/>
      <c r="D2" s="2568"/>
      <c r="E2" s="2568"/>
      <c r="F2" s="2568"/>
      <c r="G2" s="2568"/>
      <c r="H2" s="2568"/>
      <c r="I2" s="2568"/>
      <c r="J2" s="2568"/>
      <c r="K2" s="2568"/>
      <c r="L2" s="2568"/>
      <c r="M2" s="2568"/>
      <c r="N2" s="1078"/>
    </row>
    <row r="3" spans="2:14" ht="15" x14ac:dyDescent="0.2">
      <c r="B3" s="2569" t="s">
        <v>1207</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1253</v>
      </c>
      <c r="E6" s="1082" t="s">
        <v>524</v>
      </c>
      <c r="F6" s="1083"/>
      <c r="G6" s="1084" t="s">
        <v>1705</v>
      </c>
      <c r="H6" s="1082"/>
      <c r="I6" s="1082"/>
      <c r="J6" s="1916"/>
      <c r="K6" s="1085"/>
      <c r="L6" s="1086"/>
      <c r="M6" s="1087"/>
    </row>
    <row r="7" spans="2:14" x14ac:dyDescent="0.2">
      <c r="B7" s="1088" t="s">
        <v>1561</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1706</v>
      </c>
      <c r="D9" s="1090" t="s">
        <v>1707</v>
      </c>
      <c r="E9" s="1914" t="str">
        <f>"7/1/"&amp;MID('AFR20'!$E$2,3,2)-2&amp;"-6/30/"&amp;MID('AFR20'!$E$2,3,2)-1</f>
        <v>7/1/18-6/30/19</v>
      </c>
      <c r="F9" s="1914" t="str">
        <f>"7/1/"&amp;MID('AFR20'!$E$2,3,2)-1&amp;"-6/30/"&amp;MID('AFR20'!$E$2,3,2)</f>
        <v>7/1/19-6/30/20</v>
      </c>
      <c r="G9" s="1914" t="str">
        <f>"7/1/"&amp;MID('AFR20'!$E$2,3,2)-2&amp;"-6/30/"&amp;MID('AFR20'!$E$2,3,2)-1</f>
        <v>7/1/18-6/30/19</v>
      </c>
      <c r="H9" s="1093" t="s">
        <v>1562</v>
      </c>
      <c r="I9" s="1914" t="str">
        <f>"7/1/"&amp;MID('AFR20'!$E$2,3,2)-1&amp;"-6/30/"&amp;MID('AFR20'!$E$2,3,2)</f>
        <v>7/1/19-6/30/20</v>
      </c>
      <c r="J9" s="1094" t="s">
        <v>1562</v>
      </c>
      <c r="K9" s="1095" t="s">
        <v>1246</v>
      </c>
      <c r="L9" s="1102" t="s">
        <v>1563</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2090</v>
      </c>
      <c r="C11" s="1821"/>
      <c r="D11" s="1822"/>
      <c r="E11" s="1823"/>
      <c r="F11" s="1823"/>
      <c r="G11" s="1823"/>
      <c r="H11" s="1823"/>
      <c r="I11" s="1823"/>
      <c r="J11" s="1823"/>
      <c r="K11" s="1823"/>
      <c r="L11" s="1823">
        <f>+G11+I11+K11</f>
        <v>0</v>
      </c>
      <c r="M11" s="1823"/>
    </row>
    <row r="12" spans="2:14" ht="20.100000000000001" customHeight="1" x14ac:dyDescent="0.2">
      <c r="B12" s="1113" t="s">
        <v>2091</v>
      </c>
      <c r="C12" s="1824"/>
      <c r="D12" s="1825"/>
      <c r="E12" s="1826"/>
      <c r="F12" s="1826"/>
      <c r="G12" s="1826"/>
      <c r="H12" s="1826"/>
      <c r="I12" s="1826"/>
      <c r="J12" s="1826"/>
      <c r="K12" s="1826"/>
      <c r="L12" s="1823">
        <f t="shared" ref="L12:L27" si="0">+G12+I12+K12</f>
        <v>0</v>
      </c>
      <c r="M12" s="1826"/>
    </row>
    <row r="13" spans="2:14" ht="20.100000000000001" customHeight="1" x14ac:dyDescent="0.2">
      <c r="B13" s="1113" t="s">
        <v>2092</v>
      </c>
      <c r="C13" s="1824">
        <v>93.778000000000006</v>
      </c>
      <c r="D13" s="1825" t="s">
        <v>2100</v>
      </c>
      <c r="E13" s="1826">
        <v>19928</v>
      </c>
      <c r="F13" s="1826">
        <v>7190</v>
      </c>
      <c r="G13" s="1826">
        <v>28247</v>
      </c>
      <c r="H13" s="1826"/>
      <c r="I13" s="1826"/>
      <c r="J13" s="1826"/>
      <c r="K13" s="1826"/>
      <c r="L13" s="1823">
        <f t="shared" si="0"/>
        <v>28247</v>
      </c>
      <c r="M13" s="1826" t="s">
        <v>2074</v>
      </c>
    </row>
    <row r="14" spans="2:14" ht="20.100000000000001" customHeight="1" x14ac:dyDescent="0.2">
      <c r="B14" s="1113" t="s">
        <v>2092</v>
      </c>
      <c r="C14" s="1824">
        <v>93.778000000000006</v>
      </c>
      <c r="D14" s="1825" t="s">
        <v>2101</v>
      </c>
      <c r="E14" s="1826"/>
      <c r="F14" s="1826">
        <v>20704</v>
      </c>
      <c r="G14" s="1826"/>
      <c r="H14" s="1826"/>
      <c r="I14" s="1826">
        <v>34797</v>
      </c>
      <c r="J14" s="1826"/>
      <c r="K14" s="1826"/>
      <c r="L14" s="1823">
        <f t="shared" si="0"/>
        <v>34797</v>
      </c>
      <c r="M14" s="1826" t="s">
        <v>2074</v>
      </c>
    </row>
    <row r="15" spans="2:14" ht="20.100000000000001" customHeight="1" x14ac:dyDescent="0.2">
      <c r="B15" s="1113" t="s">
        <v>2093</v>
      </c>
      <c r="C15" s="1824">
        <v>84.126000000000005</v>
      </c>
      <c r="D15" s="1825" t="s">
        <v>2102</v>
      </c>
      <c r="E15" s="1826"/>
      <c r="F15" s="1826">
        <v>31561</v>
      </c>
      <c r="G15" s="1826"/>
      <c r="H15" s="1826"/>
      <c r="I15" s="1826">
        <v>31561</v>
      </c>
      <c r="J15" s="1826"/>
      <c r="K15" s="1826"/>
      <c r="L15" s="1823">
        <f t="shared" si="0"/>
        <v>31561</v>
      </c>
      <c r="M15" s="1826" t="s">
        <v>2074</v>
      </c>
    </row>
    <row r="16" spans="2:14" ht="20.100000000000001" customHeight="1" x14ac:dyDescent="0.2">
      <c r="B16" s="1113" t="s">
        <v>2094</v>
      </c>
      <c r="C16" s="1824"/>
      <c r="D16" s="1825"/>
      <c r="E16" s="1826">
        <v>19928</v>
      </c>
      <c r="F16" s="1826">
        <v>59455</v>
      </c>
      <c r="G16" s="1826">
        <v>28247</v>
      </c>
      <c r="H16" s="1826"/>
      <c r="I16" s="1826">
        <v>66358</v>
      </c>
      <c r="J16" s="1826"/>
      <c r="K16" s="1826"/>
      <c r="L16" s="1823">
        <f t="shared" si="0"/>
        <v>94605</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t="s">
        <v>2095</v>
      </c>
      <c r="C19" s="1824"/>
      <c r="D19" s="1825"/>
      <c r="E19" s="1826">
        <v>973857</v>
      </c>
      <c r="F19" s="1826">
        <v>1412286</v>
      </c>
      <c r="G19" s="1826">
        <v>1113962</v>
      </c>
      <c r="H19" s="1826"/>
      <c r="I19" s="1826">
        <v>1329577</v>
      </c>
      <c r="J19" s="1826"/>
      <c r="K19" s="1826"/>
      <c r="L19" s="1823">
        <f t="shared" si="0"/>
        <v>2443539</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t="s">
        <v>2096</v>
      </c>
      <c r="C22" s="1824" t="s">
        <v>2074</v>
      </c>
      <c r="D22" s="1825" t="s">
        <v>2074</v>
      </c>
      <c r="E22" s="1826">
        <v>0</v>
      </c>
      <c r="F22" s="1826">
        <v>0</v>
      </c>
      <c r="G22" s="1826">
        <v>0</v>
      </c>
      <c r="H22" s="1826"/>
      <c r="I22" s="1826">
        <v>0</v>
      </c>
      <c r="J22" s="1826"/>
      <c r="K22" s="1826"/>
      <c r="L22" s="1823">
        <f t="shared" si="0"/>
        <v>0</v>
      </c>
      <c r="M22" s="1826"/>
    </row>
    <row r="23" spans="2:14" ht="20.100000000000001" customHeight="1" x14ac:dyDescent="0.2">
      <c r="B23" s="1113" t="s">
        <v>2097</v>
      </c>
      <c r="C23" s="1824" t="s">
        <v>2074</v>
      </c>
      <c r="D23" s="1825" t="s">
        <v>2074</v>
      </c>
      <c r="E23" s="1826">
        <v>0</v>
      </c>
      <c r="F23" s="1826">
        <v>0</v>
      </c>
      <c r="G23" s="1826">
        <v>0</v>
      </c>
      <c r="H23" s="1826"/>
      <c r="I23" s="1826">
        <v>0</v>
      </c>
      <c r="J23" s="1826"/>
      <c r="K23" s="1826"/>
      <c r="L23" s="1823">
        <f t="shared" si="0"/>
        <v>0</v>
      </c>
      <c r="M23" s="1826"/>
    </row>
    <row r="24" spans="2:14" ht="20.100000000000001" customHeight="1" x14ac:dyDescent="0.2">
      <c r="B24" s="1113" t="s">
        <v>2098</v>
      </c>
      <c r="C24" s="1824" t="s">
        <v>2074</v>
      </c>
      <c r="D24" s="1825" t="s">
        <v>2074</v>
      </c>
      <c r="E24" s="1826">
        <v>0</v>
      </c>
      <c r="F24" s="1826">
        <v>0</v>
      </c>
      <c r="G24" s="1826">
        <v>0</v>
      </c>
      <c r="H24" s="1826"/>
      <c r="I24" s="1826">
        <v>0</v>
      </c>
      <c r="J24" s="1826"/>
      <c r="K24" s="1826"/>
      <c r="L24" s="1823">
        <f t="shared" si="0"/>
        <v>0</v>
      </c>
      <c r="M24" s="1826"/>
    </row>
    <row r="25" spans="2:14" ht="20.100000000000001" customHeight="1" x14ac:dyDescent="0.2">
      <c r="B25" s="1113" t="s">
        <v>2099</v>
      </c>
      <c r="C25" s="1824" t="s">
        <v>2074</v>
      </c>
      <c r="D25" s="1825" t="s">
        <v>2074</v>
      </c>
      <c r="E25" s="1826">
        <v>0</v>
      </c>
      <c r="F25" s="1826">
        <v>0</v>
      </c>
      <c r="G25" s="1826">
        <v>0</v>
      </c>
      <c r="H25" s="1826"/>
      <c r="I25" s="1826">
        <v>0</v>
      </c>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1708</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1806</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1709</v>
      </c>
      <c r="C37" s="1135"/>
      <c r="D37" s="1135"/>
      <c r="E37" s="1135"/>
      <c r="F37" s="1135"/>
      <c r="G37" s="1135"/>
      <c r="H37" s="1135"/>
      <c r="I37" s="1136"/>
      <c r="J37" s="1136"/>
      <c r="K37" s="1136"/>
      <c r="L37" s="1136"/>
      <c r="M37" s="1136"/>
    </row>
    <row r="38" spans="2:13" ht="11.25" customHeight="1" x14ac:dyDescent="0.2">
      <c r="B38" s="1137" t="s">
        <v>1564</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1710</v>
      </c>
      <c r="C40" s="1136"/>
      <c r="D40" s="1136"/>
      <c r="E40" s="1136"/>
      <c r="F40" s="1136"/>
      <c r="G40" s="1136"/>
      <c r="H40" s="1136"/>
      <c r="I40" s="1136"/>
      <c r="J40" s="1136"/>
      <c r="K40" s="1136"/>
      <c r="L40" s="1136"/>
      <c r="M40" s="1136"/>
    </row>
    <row r="41" spans="2:13" ht="11.25" customHeight="1" x14ac:dyDescent="0.2">
      <c r="B41" s="1076" t="s">
        <v>1565</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1711</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1712</v>
      </c>
      <c r="C45" s="1138"/>
      <c r="D45" s="1139"/>
      <c r="E45" s="1076"/>
      <c r="F45" s="1076"/>
      <c r="G45" s="1076"/>
      <c r="H45" s="1076"/>
      <c r="I45" s="1076"/>
      <c r="J45" s="1076"/>
      <c r="K45" s="1140"/>
      <c r="L45" s="1140"/>
      <c r="M45" s="1076"/>
    </row>
    <row r="46" spans="2:13" ht="11.25" customHeight="1" x14ac:dyDescent="0.2">
      <c r="B46" s="1076" t="s">
        <v>1566</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Adlai E Stevenson Dist 125</v>
      </c>
      <c r="B1" s="2580"/>
      <c r="C1" s="2580"/>
      <c r="D1" s="2580"/>
      <c r="E1" s="2580"/>
      <c r="F1" s="2580"/>
    </row>
    <row r="2" spans="1:7" ht="13.5" customHeight="1" x14ac:dyDescent="0.2">
      <c r="A2" s="2568">
        <f>'Single Audit Cover'!E7</f>
        <v>34049125013</v>
      </c>
      <c r="B2" s="2568"/>
      <c r="C2" s="2568"/>
      <c r="D2" s="2568"/>
      <c r="E2" s="2568"/>
      <c r="F2" s="2568"/>
      <c r="G2" s="1051"/>
    </row>
    <row r="3" spans="1:7" ht="15.75" customHeight="1" x14ac:dyDescent="0.2">
      <c r="A3" s="2581" t="s">
        <v>1259</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1702</v>
      </c>
      <c r="C6" s="295"/>
      <c r="D6" s="295"/>
    </row>
    <row r="7" spans="1:7" ht="60.95" customHeight="1" x14ac:dyDescent="0.2">
      <c r="A7" s="2579" t="s">
        <v>2103</v>
      </c>
      <c r="B7" s="2579"/>
      <c r="C7" s="2579"/>
      <c r="D7" s="2579"/>
      <c r="E7" s="2579"/>
      <c r="F7" s="2579"/>
    </row>
    <row r="8" spans="1:7" ht="12" customHeight="1" x14ac:dyDescent="0.2">
      <c r="A8" s="1052"/>
      <c r="B8" s="1058"/>
      <c r="C8" s="1058"/>
      <c r="D8" s="1058"/>
    </row>
    <row r="9" spans="1:7" ht="15" customHeight="1" x14ac:dyDescent="0.2">
      <c r="A9" s="1053" t="s">
        <v>1703</v>
      </c>
      <c r="B9" s="1056"/>
      <c r="C9" s="1056"/>
      <c r="D9" s="1056"/>
      <c r="E9" s="1054"/>
      <c r="F9" s="1054"/>
      <c r="G9" s="1054"/>
    </row>
    <row r="10" spans="1:7" ht="15" customHeight="1" x14ac:dyDescent="0.2">
      <c r="A10" s="1055" t="s">
        <v>1527</v>
      </c>
      <c r="B10" s="1056"/>
      <c r="C10" s="1057"/>
      <c r="D10" s="1056" t="s">
        <v>1528</v>
      </c>
      <c r="E10" s="1057" t="s">
        <v>2042</v>
      </c>
      <c r="F10" s="1056" t="s">
        <v>99</v>
      </c>
      <c r="G10" s="1054"/>
    </row>
    <row r="11" spans="1:7" ht="12" customHeight="1" x14ac:dyDescent="0.2">
      <c r="A11" s="1055"/>
      <c r="B11" s="1056"/>
      <c r="C11" s="1525"/>
      <c r="D11" s="1056"/>
      <c r="E11" s="1525"/>
      <c r="F11" s="1056"/>
      <c r="G11" s="1054"/>
    </row>
    <row r="12" spans="1:7" x14ac:dyDescent="0.2">
      <c r="A12" s="1052" t="s">
        <v>1567</v>
      </c>
      <c r="C12" s="1036"/>
      <c r="D12" s="1036"/>
    </row>
    <row r="13" spans="1:7" ht="15" customHeight="1" x14ac:dyDescent="0.2">
      <c r="A13" s="2579" t="s">
        <v>2104</v>
      </c>
      <c r="B13" s="2579"/>
      <c r="C13" s="2579"/>
      <c r="D13" s="2579"/>
      <c r="E13" s="2579"/>
      <c r="F13" s="2579"/>
    </row>
    <row r="14" spans="1:7" ht="9.75" customHeight="1" x14ac:dyDescent="0.2">
      <c r="C14" s="1036"/>
      <c r="D14" s="1036"/>
    </row>
    <row r="15" spans="1:7" ht="13.5" customHeight="1" x14ac:dyDescent="0.2">
      <c r="C15" s="1476" t="s">
        <v>1258</v>
      </c>
      <c r="D15" s="2577" t="s">
        <v>1257</v>
      </c>
      <c r="E15" s="2577"/>
      <c r="F15" s="2577"/>
    </row>
    <row r="16" spans="1:7" ht="13.5" customHeight="1" x14ac:dyDescent="0.2">
      <c r="A16" s="1058"/>
      <c r="B16" s="1052" t="s">
        <v>1256</v>
      </c>
      <c r="C16" s="1476" t="s">
        <v>1255</v>
      </c>
      <c r="D16" s="2578" t="s">
        <v>1568</v>
      </c>
      <c r="E16" s="2578"/>
      <c r="F16" s="2578"/>
    </row>
    <row r="17" spans="1:6" ht="20.45" customHeight="1" x14ac:dyDescent="0.2">
      <c r="A17" s="1059"/>
      <c r="B17" s="1060" t="s">
        <v>2105</v>
      </c>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1529</v>
      </c>
      <c r="B31" s="306"/>
      <c r="C31" s="1233"/>
      <c r="D31" s="1526"/>
      <c r="E31" s="1062"/>
    </row>
    <row r="32" spans="1:6" ht="30" customHeight="1" x14ac:dyDescent="0.2">
      <c r="A32" s="2573" t="s">
        <v>2106</v>
      </c>
      <c r="B32" s="2573"/>
      <c r="C32" s="2573"/>
      <c r="D32" s="2573"/>
      <c r="E32" s="2573"/>
      <c r="F32" s="2573"/>
    </row>
    <row r="33" spans="1:6" ht="13.5" customHeight="1" x14ac:dyDescent="0.2">
      <c r="A33" s="306" t="s">
        <v>1414</v>
      </c>
      <c r="B33" s="306"/>
      <c r="C33" s="1064">
        <v>0</v>
      </c>
      <c r="D33" s="1526"/>
      <c r="E33" s="1062"/>
    </row>
    <row r="34" spans="1:6" ht="13.5" customHeight="1" x14ac:dyDescent="0.2">
      <c r="A34" s="306" t="s">
        <v>1805</v>
      </c>
      <c r="B34" s="306"/>
      <c r="C34" s="1065">
        <v>0</v>
      </c>
      <c r="D34" s="1526" t="s">
        <v>1569</v>
      </c>
      <c r="E34" s="2574">
        <f>+C33+C34</f>
        <v>0</v>
      </c>
      <c r="F34" s="2575"/>
    </row>
    <row r="35" spans="1:6" ht="12" customHeight="1" x14ac:dyDescent="0.2">
      <c r="A35" s="306"/>
      <c r="B35" s="306"/>
      <c r="C35" s="1527"/>
      <c r="D35" s="1526"/>
      <c r="E35" s="1066"/>
      <c r="F35" s="1067"/>
    </row>
    <row r="36" spans="1:6" ht="13.5" customHeight="1" x14ac:dyDescent="0.2">
      <c r="A36" s="1063" t="s">
        <v>1530</v>
      </c>
      <c r="B36" s="306"/>
      <c r="C36" s="1233"/>
      <c r="D36" s="1526"/>
      <c r="E36" s="1062"/>
    </row>
    <row r="37" spans="1:6" ht="14.25" customHeight="1" x14ac:dyDescent="0.2">
      <c r="A37" s="306" t="s">
        <v>1464</v>
      </c>
      <c r="B37" s="306"/>
      <c r="C37" s="1528"/>
      <c r="D37" s="1526"/>
      <c r="E37" s="1062"/>
    </row>
    <row r="38" spans="1:6" ht="14.25" customHeight="1" x14ac:dyDescent="0.2">
      <c r="A38" s="306"/>
      <c r="B38" s="306" t="s">
        <v>1415</v>
      </c>
      <c r="C38" s="1068" t="s">
        <v>380</v>
      </c>
      <c r="D38" s="1526"/>
      <c r="E38" s="1062"/>
    </row>
    <row r="39" spans="1:6" ht="14.25" customHeight="1" x14ac:dyDescent="0.2">
      <c r="A39" s="306"/>
      <c r="B39" s="306" t="s">
        <v>1416</v>
      </c>
      <c r="C39" s="1068" t="s">
        <v>380</v>
      </c>
      <c r="D39" s="1526"/>
      <c r="E39" s="1062"/>
    </row>
    <row r="40" spans="1:6" ht="14.25" customHeight="1" x14ac:dyDescent="0.2">
      <c r="A40" s="306"/>
      <c r="B40" s="306" t="s">
        <v>1417</v>
      </c>
      <c r="C40" s="1068" t="s">
        <v>380</v>
      </c>
      <c r="D40" s="1526"/>
      <c r="E40" s="1062"/>
    </row>
    <row r="41" spans="1:6" ht="14.25" customHeight="1" x14ac:dyDescent="0.2">
      <c r="A41" s="306"/>
      <c r="B41" s="306" t="s">
        <v>1418</v>
      </c>
      <c r="C41" s="1068" t="s">
        <v>380</v>
      </c>
      <c r="D41" s="1526"/>
      <c r="E41" s="1062"/>
    </row>
    <row r="42" spans="1:6" ht="14.25" customHeight="1" x14ac:dyDescent="0.2">
      <c r="A42" s="306" t="s">
        <v>1419</v>
      </c>
      <c r="B42" s="306"/>
      <c r="C42" s="1524" t="s">
        <v>380</v>
      </c>
      <c r="D42" s="1526"/>
      <c r="E42" s="1062"/>
    </row>
    <row r="43" spans="1:6" ht="14.25" customHeight="1" x14ac:dyDescent="0.2">
      <c r="A43" s="306" t="s">
        <v>1420</v>
      </c>
      <c r="B43" s="306"/>
      <c r="C43" s="1069" t="s">
        <v>380</v>
      </c>
      <c r="D43" s="1526"/>
      <c r="E43" s="1062"/>
    </row>
    <row r="44" spans="1:6" ht="14.25" customHeight="1" x14ac:dyDescent="0.2">
      <c r="A44" s="306"/>
      <c r="B44" s="306"/>
      <c r="C44" s="1528" t="s">
        <v>1421</v>
      </c>
      <c r="D44" s="1526"/>
      <c r="E44" s="1062"/>
    </row>
    <row r="45" spans="1:6" ht="13.5" customHeight="1" x14ac:dyDescent="0.2">
      <c r="B45" s="300"/>
      <c r="C45" s="1070"/>
      <c r="D45" s="1070"/>
    </row>
    <row r="46" spans="1:6" x14ac:dyDescent="0.2">
      <c r="A46" s="1071" t="s">
        <v>1704</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1570</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1531</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topLeftCell="A16" zoomScale="110" zoomScaleNormal="110" workbookViewId="0">
      <selection activeCell="D46" sqref="D46"/>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Adlai E Stevenson Dist 125</v>
      </c>
      <c r="C1" s="2595"/>
      <c r="D1" s="2595"/>
      <c r="E1" s="2595"/>
      <c r="F1" s="2595"/>
      <c r="G1" s="2595"/>
      <c r="H1" s="2595"/>
      <c r="I1" s="2595"/>
      <c r="J1" s="1178"/>
    </row>
    <row r="2" spans="2:10" s="295" customFormat="1" ht="12.75" customHeight="1" x14ac:dyDescent="0.2">
      <c r="B2" s="2596">
        <f>'Single Audit Cover'!E7</f>
        <v>34049125013</v>
      </c>
      <c r="C2" s="2597"/>
      <c r="D2" s="2597"/>
      <c r="E2" s="2597"/>
      <c r="F2" s="2597"/>
      <c r="G2" s="2597"/>
      <c r="H2" s="2597"/>
      <c r="I2" s="2597"/>
      <c r="J2" s="1178"/>
    </row>
    <row r="3" spans="2:10" s="295" customFormat="1" ht="12.75" customHeight="1" x14ac:dyDescent="0.2">
      <c r="B3" s="2598" t="s">
        <v>1273</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1272</v>
      </c>
      <c r="C7" s="2599"/>
      <c r="D7" s="2599"/>
      <c r="E7" s="2599"/>
      <c r="F7" s="2599"/>
      <c r="G7" s="2599"/>
      <c r="H7" s="2599"/>
      <c r="I7" s="2599"/>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600" t="s">
        <v>1153</v>
      </c>
      <c r="D11" s="2600"/>
      <c r="E11" s="1188"/>
      <c r="F11" s="1188"/>
      <c r="G11" s="1188"/>
    </row>
    <row r="12" spans="2:10" s="295" customFormat="1" ht="11.45" customHeight="1" x14ac:dyDescent="0.2">
      <c r="B12" s="1127"/>
      <c r="C12" s="1189" t="s">
        <v>1422</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t="s">
        <v>2042</v>
      </c>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1423</v>
      </c>
      <c r="C18" s="1193"/>
      <c r="D18" s="1167"/>
      <c r="E18" s="1194"/>
      <c r="F18" s="1076" t="s">
        <v>878</v>
      </c>
      <c r="G18" s="1194" t="s">
        <v>2042</v>
      </c>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1571</v>
      </c>
      <c r="C20" s="1193"/>
      <c r="D20" s="1167"/>
      <c r="E20" s="1194"/>
      <c r="F20" s="1076" t="s">
        <v>878</v>
      </c>
      <c r="G20" s="1194" t="s">
        <v>2042</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2042</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1423</v>
      </c>
      <c r="C27" s="1193"/>
      <c r="D27" s="1167"/>
      <c r="E27" s="1194"/>
      <c r="F27" s="1076" t="s">
        <v>878</v>
      </c>
      <c r="G27" s="1194" t="s">
        <v>2042</v>
      </c>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01" t="s">
        <v>2107</v>
      </c>
      <c r="E29" s="2601"/>
      <c r="F29" s="2601"/>
      <c r="G29" s="2601"/>
      <c r="H29" s="2601"/>
      <c r="I29" s="2601"/>
    </row>
    <row r="30" spans="2:9" s="295" customFormat="1" x14ac:dyDescent="0.2">
      <c r="B30" s="1138"/>
      <c r="C30" s="300"/>
      <c r="D30" s="1189" t="s">
        <v>1719</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1532</v>
      </c>
      <c r="C33" s="1058"/>
      <c r="E33" s="1194"/>
      <c r="F33" s="1076" t="s">
        <v>878</v>
      </c>
      <c r="G33" s="1194" t="s">
        <v>2042</v>
      </c>
      <c r="H33" s="1076" t="s">
        <v>99</v>
      </c>
    </row>
    <row r="35" spans="2:9" x14ac:dyDescent="0.2">
      <c r="B35" s="1197" t="s">
        <v>1720</v>
      </c>
      <c r="C35" s="1198"/>
      <c r="D35" s="1043"/>
    </row>
    <row r="36" spans="2:9" ht="6" customHeight="1" x14ac:dyDescent="0.2">
      <c r="B36" s="1197"/>
      <c r="C36" s="1198"/>
      <c r="D36" s="1043"/>
    </row>
    <row r="37" spans="2:9" ht="17.25" customHeight="1" x14ac:dyDescent="0.2">
      <c r="B37" s="1199" t="s">
        <v>1721</v>
      </c>
      <c r="C37" s="2602" t="s">
        <v>1722</v>
      </c>
      <c r="D37" s="2603"/>
      <c r="E37" s="2603"/>
      <c r="F37" s="2604"/>
      <c r="G37" s="2602" t="s">
        <v>1572</v>
      </c>
      <c r="H37" s="2603"/>
      <c r="I37" s="2604"/>
    </row>
    <row r="38" spans="2:9" ht="16.5" customHeight="1" x14ac:dyDescent="0.2">
      <c r="B38" s="1200" t="s">
        <v>2069</v>
      </c>
      <c r="C38" s="2590" t="s">
        <v>2064</v>
      </c>
      <c r="D38" s="2591"/>
      <c r="E38" s="2591"/>
      <c r="F38" s="2592"/>
      <c r="G38" s="2605">
        <v>1170436</v>
      </c>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1573</v>
      </c>
      <c r="D43" s="2584"/>
      <c r="E43" s="2584"/>
      <c r="F43" s="2585"/>
      <c r="G43" s="2586">
        <f>SUM(G38:I42)</f>
        <v>1170436</v>
      </c>
      <c r="H43" s="2586"/>
      <c r="I43" s="2586"/>
    </row>
    <row r="44" spans="2:9" ht="12.75" customHeight="1" x14ac:dyDescent="0.2"/>
    <row r="45" spans="2:9" ht="12.75" customHeight="1" x14ac:dyDescent="0.2">
      <c r="B45" s="1917" t="str">
        <f>"Total Federal Expenditures for 7/1/"&amp;MID('AFR20'!E2,3,2)-1&amp;"-6/30/"&amp;MID('AFR20'!E2,3,2)</f>
        <v>Total Federal Expenditures for 7/1/19-6/30/20</v>
      </c>
      <c r="C45" s="1918"/>
      <c r="D45" s="2587">
        <v>1329577</v>
      </c>
      <c r="E45" s="2588"/>
    </row>
    <row r="46" spans="2:9" ht="5.25" customHeight="1" x14ac:dyDescent="0.2">
      <c r="B46" s="1201"/>
      <c r="D46" s="1202"/>
      <c r="E46" s="1203"/>
    </row>
    <row r="47" spans="2:9" ht="12.75" customHeight="1" x14ac:dyDescent="0.2">
      <c r="B47" s="1076" t="s">
        <v>1574</v>
      </c>
      <c r="C47" s="1076"/>
      <c r="D47" s="1204">
        <f>+G43/D45</f>
        <v>0.88030704502258994</v>
      </c>
      <c r="E47" s="1205"/>
      <c r="F47" s="1206"/>
      <c r="I47" s="1207"/>
    </row>
    <row r="48" spans="2:9" ht="9.9499999999999993" customHeight="1" x14ac:dyDescent="0.2"/>
    <row r="49" spans="1:9" x14ac:dyDescent="0.2">
      <c r="B49" s="1138" t="s">
        <v>1261</v>
      </c>
      <c r="C49" s="1058"/>
      <c r="D49" s="1058"/>
      <c r="E49" s="2589">
        <v>750000</v>
      </c>
      <c r="F49" s="2589"/>
      <c r="G49" s="2589"/>
      <c r="H49" s="300"/>
    </row>
    <row r="51" spans="1:9" ht="13.5" customHeight="1" x14ac:dyDescent="0.2">
      <c r="B51" s="1138" t="s">
        <v>1260</v>
      </c>
      <c r="C51" s="1058"/>
      <c r="E51" s="1194"/>
      <c r="F51" s="1076" t="s">
        <v>878</v>
      </c>
      <c r="G51" s="1194" t="s">
        <v>2042</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1723</v>
      </c>
      <c r="C54" s="1216"/>
      <c r="D54" s="1216"/>
    </row>
    <row r="55" spans="1:9" s="1217" customFormat="1" ht="12.75" customHeight="1" x14ac:dyDescent="0.2">
      <c r="A55" s="1214"/>
      <c r="B55" s="1218" t="s">
        <v>1575</v>
      </c>
      <c r="C55" s="1214"/>
      <c r="D55" s="1214"/>
    </row>
    <row r="56" spans="1:9" s="1217" customFormat="1" ht="12.75" customHeight="1" x14ac:dyDescent="0.2">
      <c r="A56" s="1214"/>
      <c r="B56" s="1218" t="s">
        <v>1576</v>
      </c>
      <c r="C56" s="1214"/>
      <c r="D56" s="1214"/>
    </row>
    <row r="57" spans="1:9" s="1217" customFormat="1" ht="3.95" customHeight="1" x14ac:dyDescent="0.2">
      <c r="A57" s="1214"/>
      <c r="B57" s="1218"/>
      <c r="C57" s="1214"/>
      <c r="D57" s="1214"/>
    </row>
    <row r="58" spans="1:9" s="1217" customFormat="1" ht="13.5" customHeight="1" x14ac:dyDescent="0.2">
      <c r="A58" s="1214"/>
      <c r="B58" s="1219" t="s">
        <v>1724</v>
      </c>
      <c r="C58" s="1220"/>
      <c r="D58" s="1220"/>
    </row>
    <row r="59" spans="1:9" s="1217" customFormat="1" ht="3.95" customHeight="1" x14ac:dyDescent="0.2">
      <c r="A59" s="1214"/>
      <c r="B59" s="1219"/>
      <c r="C59" s="1220"/>
      <c r="D59" s="1220"/>
    </row>
    <row r="60" spans="1:9" s="1217" customFormat="1" ht="13.5" customHeight="1" x14ac:dyDescent="0.2">
      <c r="A60" s="1214"/>
      <c r="B60" s="1219" t="s">
        <v>1725</v>
      </c>
      <c r="C60" s="1220"/>
      <c r="D60" s="1220"/>
    </row>
    <row r="61" spans="1:9" s="1217" customFormat="1" ht="3.95" customHeight="1" x14ac:dyDescent="0.2">
      <c r="A61" s="1214"/>
      <c r="B61" s="1219"/>
      <c r="C61" s="1220"/>
      <c r="D61" s="1220"/>
    </row>
    <row r="62" spans="1:9" s="1217" customFormat="1" ht="12.75" customHeight="1" x14ac:dyDescent="0.2">
      <c r="A62" s="1214"/>
      <c r="B62" s="1219" t="s">
        <v>1726</v>
      </c>
      <c r="C62" s="1220"/>
      <c r="D62" s="1220"/>
    </row>
    <row r="63" spans="1:9" s="1217" customFormat="1" ht="13.5" customHeight="1" x14ac:dyDescent="0.2">
      <c r="A63" s="1214"/>
      <c r="B63" s="1218" t="s">
        <v>1577</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Adlai E Stevenson Dist 125</v>
      </c>
      <c r="C1" s="2594"/>
      <c r="D1" s="2594"/>
      <c r="E1" s="2594"/>
      <c r="F1" s="2594"/>
      <c r="G1" s="2594"/>
      <c r="H1" s="2594"/>
      <c r="I1" s="2594"/>
      <c r="J1" s="2594"/>
      <c r="K1" s="2594"/>
      <c r="L1" s="1144"/>
      <c r="M1" s="1144"/>
    </row>
    <row r="2" spans="1:13" ht="12" customHeight="1" x14ac:dyDescent="0.2">
      <c r="B2" s="2596">
        <f>'Single Audit Cover'!E7</f>
        <v>34049125013</v>
      </c>
      <c r="C2" s="2596"/>
      <c r="D2" s="2596"/>
      <c r="E2" s="2596"/>
      <c r="F2" s="2596"/>
      <c r="G2" s="2596"/>
      <c r="H2" s="2596"/>
      <c r="I2" s="2596"/>
      <c r="J2" s="2596"/>
      <c r="K2" s="2596"/>
      <c r="L2" s="1145"/>
      <c r="M2" s="1146"/>
    </row>
    <row r="3" spans="1:13" ht="10.35" customHeight="1" x14ac:dyDescent="0.2">
      <c r="B3" s="2610" t="s">
        <v>1273</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1284</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1713</v>
      </c>
      <c r="C10" s="1919" t="str">
        <f>'AFR20'!$E$2&amp;"-"</f>
        <v>2020-</v>
      </c>
      <c r="D10" s="1155" t="s">
        <v>2108</v>
      </c>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1714</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1715</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1716</v>
      </c>
      <c r="C35" s="1175"/>
      <c r="D35" s="300"/>
      <c r="E35" s="300"/>
      <c r="F35" s="300"/>
      <c r="L35" s="1151"/>
    </row>
    <row r="36" spans="1:13" ht="9.6" customHeight="1" x14ac:dyDescent="0.2">
      <c r="B36" s="1076" t="s">
        <v>1807</v>
      </c>
      <c r="C36" s="1076"/>
      <c r="L36" s="1151"/>
    </row>
    <row r="37" spans="1:13" ht="9.6" customHeight="1" x14ac:dyDescent="0.2">
      <c r="B37" s="1076" t="s">
        <v>1808</v>
      </c>
      <c r="C37" s="1076"/>
    </row>
    <row r="38" spans="1:13" ht="11.85" customHeight="1" x14ac:dyDescent="0.2">
      <c r="B38" s="1176" t="s">
        <v>1717</v>
      </c>
      <c r="C38" s="1176"/>
    </row>
    <row r="39" spans="1:13" ht="9.6" customHeight="1" x14ac:dyDescent="0.2">
      <c r="B39" s="1076" t="s">
        <v>1274</v>
      </c>
      <c r="C39" s="1076"/>
      <c r="M39" s="1177"/>
    </row>
    <row r="40" spans="1:13" ht="12.6" customHeight="1" x14ac:dyDescent="0.2">
      <c r="B40" s="1176" t="s">
        <v>1718</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Adlai E Stevenson Dist 125</v>
      </c>
      <c r="C1" s="2617"/>
      <c r="D1" s="2617"/>
      <c r="E1" s="2617"/>
      <c r="F1" s="2617"/>
      <c r="G1" s="2617"/>
      <c r="H1" s="2617"/>
      <c r="I1" s="2617"/>
      <c r="J1" s="2617"/>
      <c r="K1" s="2617"/>
      <c r="L1" s="1221"/>
    </row>
    <row r="2" spans="1:12" ht="12.75" customHeight="1" x14ac:dyDescent="0.2">
      <c r="B2" s="2618">
        <f>'Single Audit Cover'!E7</f>
        <v>34049125013</v>
      </c>
      <c r="C2" s="2618"/>
      <c r="D2" s="2618"/>
      <c r="E2" s="2618"/>
      <c r="F2" s="2618"/>
      <c r="G2" s="2618"/>
      <c r="H2" s="2618"/>
      <c r="I2" s="2618"/>
      <c r="J2" s="2618"/>
      <c r="K2" s="2618"/>
      <c r="L2" s="1222"/>
    </row>
    <row r="3" spans="1:12" ht="12.75" customHeight="1" x14ac:dyDescent="0.2">
      <c r="B3" s="2610" t="s">
        <v>1273</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1158</v>
      </c>
      <c r="C5" s="1036"/>
      <c r="L5" s="300"/>
    </row>
    <row r="6" spans="1:12" ht="30.75" customHeight="1" x14ac:dyDescent="0.2">
      <c r="A6" s="300"/>
      <c r="B6" s="2619" t="s">
        <v>1296</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1727</v>
      </c>
      <c r="C8" s="1919" t="str">
        <f>'AFR20'!$E$2&amp;"-"</f>
        <v>2020-</v>
      </c>
      <c r="D8" s="1223" t="s">
        <v>2108</v>
      </c>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4"/>
      <c r="E14" s="2614"/>
      <c r="F14" s="2614"/>
      <c r="H14" s="1230" t="s">
        <v>1291</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5"/>
      <c r="E16" s="2615"/>
      <c r="F16" s="2615"/>
      <c r="G16" s="2615"/>
      <c r="H16" s="2615"/>
      <c r="I16" s="2615"/>
      <c r="J16" s="2615"/>
      <c r="K16" s="2615"/>
      <c r="L16" s="300"/>
    </row>
    <row r="17" spans="2:12" ht="13.5" customHeight="1" x14ac:dyDescent="0.2">
      <c r="B17" s="1156" t="s">
        <v>1289</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1728</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1729</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1730</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1731</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1732</v>
      </c>
      <c r="C44" s="1175"/>
      <c r="D44" s="300"/>
      <c r="E44" s="300"/>
      <c r="F44" s="300"/>
    </row>
    <row r="45" spans="2:12" ht="10.5" customHeight="1" x14ac:dyDescent="0.2">
      <c r="B45" s="1176" t="s">
        <v>1733</v>
      </c>
      <c r="C45" s="1176"/>
      <c r="G45" s="295"/>
      <c r="I45" s="295"/>
    </row>
    <row r="46" spans="2:12" ht="11.1" customHeight="1" x14ac:dyDescent="0.2">
      <c r="B46" s="1176" t="s">
        <v>1734</v>
      </c>
      <c r="C46" s="1176"/>
      <c r="G46" s="295"/>
      <c r="I46" s="295"/>
    </row>
    <row r="47" spans="2:12" ht="11.1" customHeight="1" x14ac:dyDescent="0.2">
      <c r="B47" s="1176" t="s">
        <v>1735</v>
      </c>
      <c r="C47" s="1176"/>
      <c r="G47" s="295"/>
      <c r="I47" s="295"/>
    </row>
    <row r="48" spans="2:12" ht="11.1" customHeight="1" x14ac:dyDescent="0.2">
      <c r="B48" s="1176" t="s">
        <v>1736</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D26" sqref="D2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Adlai E Stevenson Dist 125</v>
      </c>
      <c r="C1" s="2594"/>
      <c r="D1" s="2594"/>
      <c r="E1" s="1240"/>
    </row>
    <row r="2" spans="2:5" s="1058" customFormat="1" ht="12.75" customHeight="1" x14ac:dyDescent="0.2">
      <c r="B2" s="2596">
        <f>'Single Audit Cover'!E7</f>
        <v>34049125013</v>
      </c>
      <c r="C2" s="2596"/>
      <c r="D2" s="2596"/>
      <c r="E2" s="1241"/>
    </row>
    <row r="3" spans="2:5" ht="12.75" customHeight="1" x14ac:dyDescent="0.2">
      <c r="B3" s="2610" t="s">
        <v>1737</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1738</v>
      </c>
      <c r="C5" s="306"/>
      <c r="D5" s="306"/>
      <c r="E5" s="306"/>
    </row>
    <row r="6" spans="2:5" s="1058" customFormat="1" ht="13.5" customHeight="1" x14ac:dyDescent="0.2">
      <c r="B6" s="1244" t="s">
        <v>1303</v>
      </c>
      <c r="C6" s="1244" t="s">
        <v>1302</v>
      </c>
      <c r="D6" s="1244" t="s">
        <v>1739</v>
      </c>
    </row>
    <row r="7" spans="2:5" ht="13.5" customHeight="1" x14ac:dyDescent="0.2">
      <c r="B7" s="1245"/>
      <c r="C7" s="302"/>
      <c r="D7" s="302"/>
      <c r="E7" s="302"/>
    </row>
    <row r="8" spans="2:5" ht="13.5" customHeight="1" x14ac:dyDescent="0.2">
      <c r="B8" s="1245"/>
      <c r="C8" s="302"/>
      <c r="D8" s="302"/>
      <c r="E8" s="302"/>
    </row>
    <row r="9" spans="2:5" ht="13.5" customHeight="1" x14ac:dyDescent="0.2">
      <c r="B9" s="1246" t="s">
        <v>2108</v>
      </c>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1740</v>
      </c>
    </row>
    <row r="46" spans="2:5" ht="12.2" customHeight="1" x14ac:dyDescent="0.2">
      <c r="B46" s="1254" t="s">
        <v>1741</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3733253474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1.7714000000000001E-2</v>
      </c>
      <c r="E10" s="333" t="s">
        <v>997</v>
      </c>
      <c r="F10" s="332">
        <v>5.3569999999999998E-3</v>
      </c>
      <c r="G10" s="333" t="s">
        <v>997</v>
      </c>
      <c r="H10" s="332">
        <v>1.4729999999999999E-3</v>
      </c>
      <c r="I10" s="333" t="s">
        <v>998</v>
      </c>
      <c r="J10" s="1424">
        <f>ROUND(D10+F10+H10,5)</f>
        <v>2.4539999999999999E-2</v>
      </c>
      <c r="K10" s="217"/>
      <c r="L10" s="332">
        <v>1.34E-4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6">
        <f>SUM('Acct Summary 7-8'!C8,'Acct Summary 7-8'!D8,'Acct Summary 7-8'!F8,'Acct Summary 7-8'!I8)</f>
        <v>106237038</v>
      </c>
      <c r="E16" s="1547"/>
      <c r="F16" s="1546">
        <f>SUM('Acct Summary 7-8'!C17,'Acct Summary 7-8'!D17,'Acct Summary 7-8'!F17)</f>
        <v>126261551</v>
      </c>
      <c r="G16" s="1547"/>
      <c r="H16" s="1546">
        <f>SUM(D16-F16)</f>
        <v>-20024513</v>
      </c>
      <c r="I16" s="1548"/>
      <c r="J16" s="1546">
        <f>SUM('Acct Summary 7-8'!C81,'Acct Summary 7-8'!D81,'Acct Summary 7-8'!F81,'Acct Summary 7-8'!I81)</f>
        <v>118127507</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2042</v>
      </c>
      <c r="C31" s="344" t="s">
        <v>582</v>
      </c>
      <c r="D31" s="232" t="s">
        <v>1062</v>
      </c>
      <c r="E31" s="217"/>
      <c r="F31" s="217"/>
      <c r="G31" s="340"/>
      <c r="H31" s="1425">
        <f>IF(B31="X",(J7*0.069),IF(B32="X",(J7*0.138),"Enter x in a.or b."))</f>
        <v>257594489.70600003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9">
        <f>'Assets-Liab 5-6'!N36</f>
        <v>41218447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1393</v>
      </c>
      <c r="B3" s="2210"/>
      <c r="C3" s="2210"/>
      <c r="D3" s="2210"/>
      <c r="E3" s="2210"/>
      <c r="F3" s="2210"/>
      <c r="G3" s="2210"/>
      <c r="H3" s="2210"/>
      <c r="I3" s="2210"/>
      <c r="J3" s="2210"/>
      <c r="K3" s="2210"/>
      <c r="L3" s="2210"/>
      <c r="M3" s="2210"/>
      <c r="N3" s="2210"/>
      <c r="O3" s="2210"/>
      <c r="P3" s="2210"/>
      <c r="Q3" s="2210"/>
      <c r="R3" s="2210"/>
    </row>
    <row r="4" spans="1:18" x14ac:dyDescent="0.2">
      <c r="A4" s="2211" t="s">
        <v>1534</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Adlai E Stevenson Dist 125</v>
      </c>
      <c r="E7" s="368"/>
      <c r="G7" s="247"/>
      <c r="H7" s="364"/>
      <c r="I7" s="364"/>
      <c r="J7" s="364"/>
      <c r="K7" s="364"/>
      <c r="L7" s="307"/>
      <c r="M7" s="307"/>
      <c r="N7" s="307"/>
      <c r="O7" s="307"/>
      <c r="P7" s="307"/>
    </row>
    <row r="8" spans="1:18" ht="12.75" x14ac:dyDescent="0.2">
      <c r="A8" s="307"/>
      <c r="B8" s="307"/>
      <c r="C8" s="366" t="s">
        <v>1114</v>
      </c>
      <c r="D8" s="369">
        <f>COVER!A13</f>
        <v>34049125013</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118127507</v>
      </c>
      <c r="I12" s="380"/>
      <c r="J12" s="380"/>
      <c r="K12" s="1559">
        <f>TRUNC((H12/H13*100000),5)/100000</f>
        <v>1.1119239506</v>
      </c>
      <c r="L12" s="381"/>
      <c r="M12" s="337" t="s">
        <v>1133</v>
      </c>
      <c r="N12" s="337"/>
      <c r="O12" s="1562">
        <v>0.35</v>
      </c>
      <c r="P12" s="213"/>
      <c r="Q12" s="213"/>
    </row>
    <row r="13" spans="1:18" s="382" customFormat="1" ht="12.75" x14ac:dyDescent="0.2">
      <c r="A13" s="213"/>
      <c r="B13" s="377"/>
      <c r="C13" s="2207" t="s">
        <v>1312</v>
      </c>
      <c r="D13" s="2208"/>
      <c r="E13" s="213"/>
      <c r="F13" s="383" t="s">
        <v>787</v>
      </c>
      <c r="G13" s="378"/>
      <c r="H13" s="1551">
        <f>SUM('Acct Summary 7-8'!C8+'Acct Summary 7-8'!D8+'Acct Summary 7-8'!F8+'Acct Summary 7-8'!I8)+H14</f>
        <v>106237038</v>
      </c>
      <c r="I13" s="380"/>
      <c r="J13" s="380"/>
      <c r="K13" s="1558"/>
      <c r="L13" s="213"/>
      <c r="M13" s="337" t="s">
        <v>1134</v>
      </c>
      <c r="N13" s="337"/>
      <c r="O13" s="1563">
        <f>(O11*O12)</f>
        <v>1.4</v>
      </c>
      <c r="P13" s="213"/>
      <c r="Q13" s="213"/>
      <c r="R13" s="385"/>
    </row>
    <row r="14" spans="1:18" s="382" customFormat="1" ht="12.75" x14ac:dyDescent="0.2">
      <c r="A14" s="213"/>
      <c r="B14" s="377"/>
      <c r="C14" s="235" t="s">
        <v>1377</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1391</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t="str">
        <f>IF(K17&gt;1.2,"1",IF(K17&gt;1.1,"2",IF(K17&gt;1,"3",4)))</f>
        <v>2</v>
      </c>
      <c r="P16" s="211"/>
      <c r="R16" s="361"/>
    </row>
    <row r="17" spans="1:18" s="382" customFormat="1" ht="11.25" x14ac:dyDescent="0.2">
      <c r="A17" s="213"/>
      <c r="B17" s="377"/>
      <c r="C17" s="213" t="s">
        <v>791</v>
      </c>
      <c r="D17" s="213"/>
      <c r="E17" s="213"/>
      <c r="F17" s="213" t="s">
        <v>441</v>
      </c>
      <c r="G17" s="378"/>
      <c r="H17" s="1551">
        <f>SUM('Acct Summary 7-8'!C17+'Acct Summary 7-8'!D17+'Acct Summary 7-8'!F17)</f>
        <v>126261551</v>
      </c>
      <c r="I17" s="380"/>
      <c r="J17" s="389"/>
      <c r="K17" s="1559">
        <f>TRUNC((H17/H18*100000),5)/100000</f>
        <v>1.1884889994000001</v>
      </c>
      <c r="L17" s="381"/>
      <c r="M17" s="390" t="s">
        <v>1160</v>
      </c>
      <c r="O17" s="1565" t="str">
        <f>IF(AND(O16="2", J20 &gt; 2),"1",IF(AND(O16 = "1", J20 &gt; 2),"2",IF(AND(O16="1", J20 &gt;1),"1","0")))</f>
        <v>1</v>
      </c>
      <c r="P17" s="213"/>
    </row>
    <row r="18" spans="1:18" s="382" customFormat="1" ht="11.25" x14ac:dyDescent="0.2">
      <c r="A18" s="213"/>
      <c r="B18" s="377"/>
      <c r="C18" s="2207" t="s">
        <v>1305</v>
      </c>
      <c r="D18" s="2208"/>
      <c r="E18" s="213"/>
      <c r="F18" s="391" t="s">
        <v>788</v>
      </c>
      <c r="G18" s="378"/>
      <c r="H18" s="1551">
        <f>SUM('Acct Summary 7-8'!C8+'Acct Summary 7-8'!D8+'Acct Summary 7-8'!F8+'Acct Summary 7-8'!I8)+H19</f>
        <v>106237038</v>
      </c>
      <c r="I18" s="380"/>
      <c r="J18" s="380"/>
      <c r="K18" s="1558"/>
      <c r="L18" s="213"/>
      <c r="M18" s="337" t="s">
        <v>1133</v>
      </c>
      <c r="N18" s="337"/>
      <c r="O18" s="1558">
        <v>0.35</v>
      </c>
      <c r="P18" s="213"/>
    </row>
    <row r="19" spans="1:18" s="382" customFormat="1" ht="11.25" x14ac:dyDescent="0.2">
      <c r="A19" s="213"/>
      <c r="B19" s="377"/>
      <c r="C19" s="235" t="s">
        <v>1377</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1391</v>
      </c>
      <c r="D20" s="213"/>
      <c r="E20" s="213"/>
      <c r="F20" s="213"/>
      <c r="G20" s="378"/>
      <c r="H20" s="1554"/>
      <c r="I20" s="380"/>
      <c r="J20" s="393">
        <f>IF(K17&lt;=1,"0",TRUNC(((K12-0.1)/(K17-1)*100),5)/100)</f>
        <v>5.3686100999999997</v>
      </c>
      <c r="K20" s="1559">
        <f>IF(K17&lt;=1,"0",IF(AND(O16="2", J20 &gt; 2),TRUNC(((K12-0.1)/(K17-1)*100),5)/100,IF(AND(O16 = "1", J20 &gt; 2),TRUNC(((K12-0.1)/(K17-1)*100),5)/100,IF(AND(O16="1", J20 &gt;1),TRUNC(((K12-0.1)/(K17-1)*100),5)/100,""))))</f>
        <v>5.3686100999999997</v>
      </c>
      <c r="L20" s="213"/>
      <c r="M20" s="337" t="s">
        <v>1134</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204" t="s">
        <v>1392</v>
      </c>
      <c r="D24" s="2204"/>
      <c r="E24" s="213"/>
      <c r="F24" s="213" t="s">
        <v>442</v>
      </c>
      <c r="G24" s="378"/>
      <c r="H24" s="1551">
        <f>SUM('Assets-Liab 5-6'!C4+'Assets-Liab 5-6'!D4+'Assets-Liab 5-6'!F4+'Assets-Liab 5-6'!I4+'Assets-Liab 5-6'!C5+'Assets-Liab 5-6'!D5+'Assets-Liab 5-6'!F5+'Assets-Liab 5-6'!I5)</f>
        <v>117834257</v>
      </c>
      <c r="I24" s="394"/>
      <c r="J24" s="394"/>
      <c r="K24" s="1555">
        <f>TRUNC(((H24/H25*100000)/100000),2)</f>
        <v>335.97</v>
      </c>
      <c r="L24" s="395"/>
      <c r="M24" s="337" t="s">
        <v>1133</v>
      </c>
      <c r="N24" s="337"/>
      <c r="O24" s="1563">
        <v>0.1</v>
      </c>
      <c r="P24" s="213"/>
    </row>
    <row r="25" spans="1:18" s="382" customFormat="1" ht="12.75" x14ac:dyDescent="0.2">
      <c r="A25" s="213"/>
      <c r="B25" s="377"/>
      <c r="C25" s="213" t="s">
        <v>792</v>
      </c>
      <c r="D25" s="213"/>
      <c r="E25" s="213"/>
      <c r="F25" s="213" t="s">
        <v>443</v>
      </c>
      <c r="G25" s="378"/>
      <c r="H25" s="1555">
        <f>ROUND((H17/360),5)</f>
        <v>350726.53055999998</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1132</v>
      </c>
      <c r="N27" s="314"/>
      <c r="O27" s="1566" t="str">
        <f>IF(K28&gt;=75,"4",IF(K28&gt;=50,"3",IF(K28&gt;=25,"2",1)))</f>
        <v>4</v>
      </c>
      <c r="P27" s="211"/>
    </row>
    <row r="28" spans="1:18" s="382" customFormat="1" ht="11.25" x14ac:dyDescent="0.2">
      <c r="A28" s="213"/>
      <c r="B28" s="377"/>
      <c r="C28" s="213" t="s">
        <v>1887</v>
      </c>
      <c r="D28" s="213"/>
      <c r="E28" s="213"/>
      <c r="F28" s="213" t="s">
        <v>441</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77871934.214169994</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41218447</v>
      </c>
      <c r="I32" s="392"/>
      <c r="J32" s="392"/>
      <c r="K32" s="1555">
        <f>TRUNC(100-((((H32/H33*100))*100)/100),2)</f>
        <v>83.99</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257594489.70600003</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9" activePane="bottomLeft" state="frozen"/>
      <selection pane="bottomLeft" activeCell="D41" sqref="D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3"/>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4" t="s">
        <v>966</v>
      </c>
      <c r="B3" s="2215"/>
      <c r="C3" s="1306"/>
      <c r="D3" s="1307"/>
      <c r="E3" s="1307"/>
      <c r="F3" s="1307"/>
      <c r="G3" s="1307"/>
      <c r="H3" s="1307"/>
      <c r="I3" s="1307"/>
      <c r="J3" s="1307"/>
      <c r="K3" s="1307"/>
      <c r="L3" s="1307"/>
      <c r="M3" s="1308"/>
      <c r="N3" s="1309"/>
    </row>
    <row r="4" spans="1:14" ht="13.5" customHeight="1" x14ac:dyDescent="0.2">
      <c r="A4" s="427" t="s">
        <v>1629</v>
      </c>
      <c r="B4" s="428"/>
      <c r="C4" s="1572">
        <v>89331136</v>
      </c>
      <c r="D4" s="1573">
        <v>11574748</v>
      </c>
      <c r="E4" s="1573">
        <v>3533568</v>
      </c>
      <c r="F4" s="1573">
        <v>5642780</v>
      </c>
      <c r="G4" s="1573">
        <v>4220737</v>
      </c>
      <c r="H4" s="1573"/>
      <c r="I4" s="1573">
        <v>11285593</v>
      </c>
      <c r="J4" s="1574">
        <v>286032</v>
      </c>
      <c r="K4" s="1573">
        <v>1097</v>
      </c>
      <c r="L4" s="1573">
        <v>2108179</v>
      </c>
      <c r="M4" s="1575"/>
      <c r="N4" s="1576"/>
    </row>
    <row r="5" spans="1:14" x14ac:dyDescent="0.2">
      <c r="A5" s="427" t="s">
        <v>984</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v>293250</v>
      </c>
      <c r="D12" s="1573"/>
      <c r="E12" s="1573"/>
      <c r="F12" s="1573"/>
      <c r="G12" s="1573"/>
      <c r="H12" s="1573"/>
      <c r="I12" s="1573"/>
      <c r="J12" s="1574"/>
      <c r="K12" s="1573"/>
      <c r="L12" s="1573"/>
      <c r="M12" s="1576"/>
      <c r="N12" s="1576"/>
    </row>
    <row r="13" spans="1:14" ht="13.5" customHeight="1" thickBot="1" x14ac:dyDescent="0.25">
      <c r="A13" s="1426" t="s">
        <v>639</v>
      </c>
      <c r="B13" s="1407"/>
      <c r="C13" s="1587">
        <f>SUM(C4:C12)</f>
        <v>89624386</v>
      </c>
      <c r="D13" s="1587">
        <f t="shared" ref="D13:L13" si="0">SUM(D4:D12)</f>
        <v>11574748</v>
      </c>
      <c r="E13" s="1587">
        <f t="shared" si="0"/>
        <v>3533568</v>
      </c>
      <c r="F13" s="1587">
        <f t="shared" si="0"/>
        <v>5642780</v>
      </c>
      <c r="G13" s="1587">
        <f t="shared" si="0"/>
        <v>4220737</v>
      </c>
      <c r="H13" s="1587">
        <f t="shared" si="0"/>
        <v>0</v>
      </c>
      <c r="I13" s="1587">
        <f t="shared" si="0"/>
        <v>11285593</v>
      </c>
      <c r="J13" s="1587">
        <f t="shared" si="0"/>
        <v>286032</v>
      </c>
      <c r="K13" s="1587">
        <f t="shared" si="0"/>
        <v>1097</v>
      </c>
      <c r="L13" s="1587">
        <f t="shared" si="0"/>
        <v>2108179</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1381</v>
      </c>
      <c r="B15" s="432">
        <v>210</v>
      </c>
      <c r="C15" s="1582"/>
      <c r="D15" s="1582"/>
      <c r="E15" s="1582"/>
      <c r="F15" s="1582"/>
      <c r="G15" s="1582"/>
      <c r="H15" s="1582"/>
      <c r="I15" s="1582"/>
      <c r="J15" s="1582"/>
      <c r="K15" s="1582"/>
      <c r="L15" s="1582"/>
      <c r="M15" s="1583"/>
      <c r="N15" s="1592"/>
    </row>
    <row r="16" spans="1:14" s="433" customFormat="1" ht="12.75" customHeight="1" x14ac:dyDescent="0.2">
      <c r="A16" s="431" t="s">
        <v>1382</v>
      </c>
      <c r="B16" s="432">
        <v>220</v>
      </c>
      <c r="C16" s="1582"/>
      <c r="D16" s="1582"/>
      <c r="E16" s="1582"/>
      <c r="F16" s="1582"/>
      <c r="G16" s="1582"/>
      <c r="H16" s="1582"/>
      <c r="I16" s="1582"/>
      <c r="J16" s="1582"/>
      <c r="K16" s="1582"/>
      <c r="L16" s="1582"/>
      <c r="M16" s="1574">
        <v>878405</v>
      </c>
      <c r="N16" s="1592"/>
    </row>
    <row r="17" spans="1:14" s="433" customFormat="1" ht="12.75" customHeight="1" x14ac:dyDescent="0.2">
      <c r="A17" s="431" t="s">
        <v>1383</v>
      </c>
      <c r="B17" s="432">
        <v>230</v>
      </c>
      <c r="C17" s="1582"/>
      <c r="D17" s="1582"/>
      <c r="E17" s="1582"/>
      <c r="F17" s="1582"/>
      <c r="G17" s="1582"/>
      <c r="H17" s="1582"/>
      <c r="I17" s="1582"/>
      <c r="J17" s="1582"/>
      <c r="K17" s="1582"/>
      <c r="L17" s="1582"/>
      <c r="M17" s="1574">
        <v>261519150</v>
      </c>
      <c r="N17" s="1592"/>
    </row>
    <row r="18" spans="1:14" s="433" customFormat="1" ht="12.75" customHeight="1" x14ac:dyDescent="0.2">
      <c r="A18" s="431" t="s">
        <v>1384</v>
      </c>
      <c r="B18" s="432">
        <v>240</v>
      </c>
      <c r="C18" s="1582"/>
      <c r="D18" s="1582"/>
      <c r="E18" s="1582"/>
      <c r="F18" s="1582"/>
      <c r="G18" s="1582"/>
      <c r="H18" s="1582"/>
      <c r="I18" s="1582"/>
      <c r="J18" s="1582"/>
      <c r="K18" s="1582"/>
      <c r="L18" s="1582"/>
      <c r="M18" s="1574">
        <v>13582547</v>
      </c>
      <c r="N18" s="1592"/>
    </row>
    <row r="19" spans="1:14" s="433" customFormat="1" ht="12.75" customHeight="1" x14ac:dyDescent="0.2">
      <c r="A19" s="431" t="s">
        <v>1385</v>
      </c>
      <c r="B19" s="432">
        <v>250</v>
      </c>
      <c r="C19" s="1582"/>
      <c r="D19" s="1582"/>
      <c r="E19" s="1582"/>
      <c r="F19" s="1582"/>
      <c r="G19" s="1582"/>
      <c r="H19" s="1582"/>
      <c r="I19" s="1582"/>
      <c r="J19" s="1582"/>
      <c r="K19" s="1582"/>
      <c r="L19" s="1582"/>
      <c r="M19" s="1574">
        <v>61883771</v>
      </c>
      <c r="N19" s="1592"/>
    </row>
    <row r="20" spans="1:14" s="433" customFormat="1" ht="12.75" customHeight="1" x14ac:dyDescent="0.2">
      <c r="A20" s="431" t="s">
        <v>1386</v>
      </c>
      <c r="B20" s="432">
        <v>260</v>
      </c>
      <c r="C20" s="1582"/>
      <c r="D20" s="1582"/>
      <c r="E20" s="1582"/>
      <c r="F20" s="1582"/>
      <c r="G20" s="1582"/>
      <c r="H20" s="1582"/>
      <c r="I20" s="1582"/>
      <c r="J20" s="1582"/>
      <c r="K20" s="1582"/>
      <c r="L20" s="1582"/>
      <c r="M20" s="1574"/>
      <c r="N20" s="1592"/>
    </row>
    <row r="21" spans="1:14" s="433" customFormat="1" ht="12.75" customHeight="1" x14ac:dyDescent="0.2">
      <c r="A21" s="431" t="s">
        <v>1387</v>
      </c>
      <c r="B21" s="432">
        <v>340</v>
      </c>
      <c r="C21" s="1582"/>
      <c r="D21" s="1582"/>
      <c r="E21" s="1582"/>
      <c r="F21" s="1582"/>
      <c r="G21" s="1582"/>
      <c r="H21" s="1582"/>
      <c r="I21" s="1582"/>
      <c r="J21" s="1582"/>
      <c r="K21" s="1582"/>
      <c r="L21" s="1582"/>
      <c r="M21" s="1593"/>
      <c r="N21" s="1574">
        <v>3533568</v>
      </c>
    </row>
    <row r="22" spans="1:14" s="433" customFormat="1" ht="12.75" customHeight="1" x14ac:dyDescent="0.2">
      <c r="A22" s="431" t="s">
        <v>1388</v>
      </c>
      <c r="B22" s="432">
        <v>350</v>
      </c>
      <c r="C22" s="1582"/>
      <c r="D22" s="1582"/>
      <c r="E22" s="1582"/>
      <c r="F22" s="1582"/>
      <c r="G22" s="1582"/>
      <c r="H22" s="1582"/>
      <c r="I22" s="1582"/>
      <c r="J22" s="1582"/>
      <c r="K22" s="1582"/>
      <c r="L22" s="1582"/>
      <c r="M22" s="1593"/>
      <c r="N22" s="1607">
        <f>'Short-Term Long-Term Debt 24'!J49</f>
        <v>37684879</v>
      </c>
    </row>
    <row r="23" spans="1:14" ht="13.5" customHeight="1" thickBot="1" x14ac:dyDescent="0.25">
      <c r="A23" s="1426" t="s">
        <v>638</v>
      </c>
      <c r="B23" s="1429"/>
      <c r="C23" s="1575"/>
      <c r="D23" s="1575"/>
      <c r="E23" s="1575"/>
      <c r="F23" s="1575"/>
      <c r="G23" s="1575"/>
      <c r="H23" s="1575"/>
      <c r="I23" s="1575"/>
      <c r="J23" s="1575"/>
      <c r="K23" s="1575"/>
      <c r="L23" s="1575"/>
      <c r="M23" s="1594">
        <f>SUM(M15:M22)</f>
        <v>337863873</v>
      </c>
      <c r="N23" s="1594">
        <f>SUM(N21:N22)</f>
        <v>41218447</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2108179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2108179</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41218447</v>
      </c>
    </row>
    <row r="37" spans="1:14" ht="13.5" thickBot="1" x14ac:dyDescent="0.25">
      <c r="A37" s="1426" t="s">
        <v>648</v>
      </c>
      <c r="B37" s="1429"/>
      <c r="C37" s="1582"/>
      <c r="D37" s="1582"/>
      <c r="E37" s="1582"/>
      <c r="F37" s="1582"/>
      <c r="G37" s="1582"/>
      <c r="H37" s="1582"/>
      <c r="I37" s="1582"/>
      <c r="J37" s="1582"/>
      <c r="K37" s="1582"/>
      <c r="L37" s="1585"/>
      <c r="M37" s="1575"/>
      <c r="N37" s="1594">
        <f>SUM(N36:N36)</f>
        <v>41218447</v>
      </c>
    </row>
    <row r="38" spans="1:14" s="307" customFormat="1" ht="13.5" customHeight="1" thickTop="1" x14ac:dyDescent="0.2">
      <c r="A38" s="438" t="s">
        <v>417</v>
      </c>
      <c r="B38" s="432">
        <v>714</v>
      </c>
      <c r="C38" s="1573">
        <v>41065000</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48559386</v>
      </c>
      <c r="D39" s="1573">
        <v>11574748</v>
      </c>
      <c r="E39" s="1573">
        <v>3533568</v>
      </c>
      <c r="F39" s="1573">
        <v>5642780</v>
      </c>
      <c r="G39" s="1573">
        <v>4220737</v>
      </c>
      <c r="H39" s="1573"/>
      <c r="I39" s="1573">
        <v>11285593</v>
      </c>
      <c r="J39" s="1574">
        <v>286032</v>
      </c>
      <c r="K39" s="1573">
        <v>1097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337863873</v>
      </c>
      <c r="N40" s="1604"/>
    </row>
    <row r="41" spans="1:14" ht="13.5" customHeight="1" thickBot="1" x14ac:dyDescent="0.25">
      <c r="A41" s="1426" t="s">
        <v>650</v>
      </c>
      <c r="B41" s="1405"/>
      <c r="C41" s="1594">
        <f>(SUM(C34,C37,C38,C39))</f>
        <v>89624386</v>
      </c>
      <c r="D41" s="1594">
        <f t="shared" ref="D41:L41" si="2">SUM(D34,D37,D38:D39)</f>
        <v>11574748</v>
      </c>
      <c r="E41" s="1594">
        <f t="shared" si="2"/>
        <v>3533568</v>
      </c>
      <c r="F41" s="1594">
        <f t="shared" si="2"/>
        <v>5642780</v>
      </c>
      <c r="G41" s="1594">
        <f t="shared" si="2"/>
        <v>4220737</v>
      </c>
      <c r="H41" s="1594">
        <f t="shared" si="2"/>
        <v>0</v>
      </c>
      <c r="I41" s="1594">
        <f t="shared" si="2"/>
        <v>11285593</v>
      </c>
      <c r="J41" s="1594">
        <f t="shared" si="2"/>
        <v>286032</v>
      </c>
      <c r="K41" s="1594">
        <f t="shared" si="2"/>
        <v>1097</v>
      </c>
      <c r="L41" s="1594">
        <f t="shared" si="2"/>
        <v>2108179</v>
      </c>
      <c r="M41" s="1594">
        <f>SUM(M40)</f>
        <v>337863873</v>
      </c>
      <c r="N41" s="1594">
        <f>SUM(N37)</f>
        <v>41218447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3" activePane="bottomLeft" state="frozen"/>
      <selection pane="bottomLeft" activeCell="G90" sqref="G9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1"/>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2" t="s">
        <v>1164</v>
      </c>
      <c r="B3" s="2243"/>
      <c r="C3" s="1311"/>
      <c r="D3" s="1312"/>
      <c r="E3" s="1312"/>
      <c r="F3" s="1312"/>
      <c r="G3" s="1312"/>
      <c r="H3" s="1312"/>
      <c r="I3" s="1312"/>
      <c r="J3" s="1312"/>
      <c r="K3" s="1313"/>
      <c r="L3" s="446"/>
    </row>
    <row r="4" spans="1:13" ht="15.75" customHeight="1" x14ac:dyDescent="0.2">
      <c r="A4" s="1537" t="s">
        <v>1479</v>
      </c>
      <c r="B4" s="1538">
        <v>1000</v>
      </c>
      <c r="C4" s="1606">
        <f>'Revenues 9-14'!C109</f>
        <v>75213334</v>
      </c>
      <c r="D4" s="1606">
        <f>'Revenues 9-14'!D109</f>
        <v>18357347</v>
      </c>
      <c r="E4" s="1606">
        <f>'Revenues 9-14'!E109</f>
        <v>4569000</v>
      </c>
      <c r="F4" s="1606">
        <f>'Revenues 9-14'!F109</f>
        <v>4876356</v>
      </c>
      <c r="G4" s="1606">
        <f>'Revenues 9-14'!G109</f>
        <v>2961158</v>
      </c>
      <c r="H4" s="1606">
        <f>'Revenues 9-14'!H109</f>
        <v>0</v>
      </c>
      <c r="I4" s="1606">
        <f>'Revenues 9-14'!I109</f>
        <v>596768</v>
      </c>
      <c r="J4" s="1606">
        <f>'Revenues 9-14'!J109</f>
        <v>17681</v>
      </c>
      <c r="K4" s="1606">
        <f>'Revenues 9-14'!K109</f>
        <v>0</v>
      </c>
      <c r="L4" s="325"/>
    </row>
    <row r="5" spans="1:13" ht="15.75" customHeight="1" x14ac:dyDescent="0.2">
      <c r="A5" s="1314" t="s">
        <v>1480</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1481</v>
      </c>
      <c r="B6" s="1316">
        <v>3000</v>
      </c>
      <c r="C6" s="1607">
        <f>'Revenues 9-14'!C170</f>
        <v>3846748</v>
      </c>
      <c r="D6" s="1607">
        <f>'Revenues 9-14'!D170</f>
        <v>50000</v>
      </c>
      <c r="E6" s="1607">
        <f>'Revenues 9-14'!E170</f>
        <v>0</v>
      </c>
      <c r="F6" s="1607">
        <f>'Revenues 9-14'!F170</f>
        <v>1656078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1482</v>
      </c>
      <c r="B7" s="1316">
        <v>4000</v>
      </c>
      <c r="C7" s="1607">
        <f>'Revenues 9-14'!C267</f>
        <v>1640407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80700489</v>
      </c>
      <c r="D8" s="1594">
        <f t="shared" ref="D8:K8" si="0">SUM(D4:D7)</f>
        <v>18407347</v>
      </c>
      <c r="E8" s="1594">
        <f t="shared" si="0"/>
        <v>4569000</v>
      </c>
      <c r="F8" s="1594">
        <f t="shared" si="0"/>
        <v>6532434</v>
      </c>
      <c r="G8" s="1594">
        <f t="shared" si="0"/>
        <v>2961158</v>
      </c>
      <c r="H8" s="1594">
        <f t="shared" si="0"/>
        <v>0</v>
      </c>
      <c r="I8" s="1594">
        <f t="shared" si="0"/>
        <v>596768</v>
      </c>
      <c r="J8" s="1594">
        <f t="shared" si="0"/>
        <v>17681</v>
      </c>
      <c r="K8" s="1594">
        <f t="shared" si="0"/>
        <v>0</v>
      </c>
      <c r="L8" s="325"/>
    </row>
    <row r="9" spans="1:13" ht="15.75" thickTop="1" x14ac:dyDescent="0.2">
      <c r="A9" s="449" t="s">
        <v>1631</v>
      </c>
      <c r="B9" s="450">
        <v>3998</v>
      </c>
      <c r="C9" s="1586">
        <v>33951592</v>
      </c>
      <c r="D9" s="1613"/>
      <c r="E9" s="1586"/>
      <c r="F9" s="1586"/>
      <c r="G9" s="1614"/>
      <c r="H9" s="1586"/>
      <c r="I9" s="1609" t="s">
        <v>1158</v>
      </c>
      <c r="J9" s="1583"/>
      <c r="K9" s="1586"/>
      <c r="L9" s="325"/>
    </row>
    <row r="10" spans="1:13" s="452" customFormat="1" ht="13.5" thickBot="1" x14ac:dyDescent="0.25">
      <c r="A10" s="1426" t="s">
        <v>1162</v>
      </c>
      <c r="B10" s="1407"/>
      <c r="C10" s="1594">
        <f>SUM(C8:C9)</f>
        <v>114652081</v>
      </c>
      <c r="D10" s="1594">
        <f t="shared" ref="D10:K10" si="1">SUM(D8:D9)</f>
        <v>18407347</v>
      </c>
      <c r="E10" s="1594">
        <f t="shared" si="1"/>
        <v>4569000</v>
      </c>
      <c r="F10" s="1594">
        <f t="shared" si="1"/>
        <v>6532434</v>
      </c>
      <c r="G10" s="1594">
        <f t="shared" si="1"/>
        <v>2961158</v>
      </c>
      <c r="H10" s="1594">
        <f t="shared" si="1"/>
        <v>0</v>
      </c>
      <c r="I10" s="1594">
        <f t="shared" si="1"/>
        <v>596768</v>
      </c>
      <c r="J10" s="1594">
        <f t="shared" si="1"/>
        <v>17681</v>
      </c>
      <c r="K10" s="1594">
        <f t="shared" si="1"/>
        <v>0</v>
      </c>
      <c r="L10" s="451"/>
    </row>
    <row r="11" spans="1:13" s="452" customFormat="1" ht="16.7" customHeight="1" thickTop="1" x14ac:dyDescent="0.2">
      <c r="A11" s="2216" t="s">
        <v>1165</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54759251</v>
      </c>
      <c r="D12" s="1616" t="s">
        <v>1158</v>
      </c>
      <c r="E12" s="1575" t="s">
        <v>1158</v>
      </c>
      <c r="F12" s="1575" t="s">
        <v>1158</v>
      </c>
      <c r="G12" s="1606">
        <f>'Expenditures 15-22'!K229</f>
        <v>1307987</v>
      </c>
      <c r="H12" s="1617"/>
      <c r="I12" s="1575" t="s">
        <v>1158</v>
      </c>
      <c r="J12" s="1575" t="s">
        <v>1158</v>
      </c>
      <c r="K12" s="1617" t="s">
        <v>1158</v>
      </c>
      <c r="L12" s="325"/>
    </row>
    <row r="13" spans="1:13" ht="15.75" customHeight="1" x14ac:dyDescent="0.2">
      <c r="A13" s="1314" t="s">
        <v>454</v>
      </c>
      <c r="B13" s="1316">
        <v>2000</v>
      </c>
      <c r="C13" s="1607">
        <f>'Expenditures 15-22'!K74</f>
        <v>26547923</v>
      </c>
      <c r="D13" s="1607">
        <f>'Expenditures 15-22'!K129</f>
        <v>30260433</v>
      </c>
      <c r="E13" s="1576" t="s">
        <v>1158</v>
      </c>
      <c r="F13" s="1607">
        <f>'Expenditures 15-22'!K184</f>
        <v>5023678</v>
      </c>
      <c r="G13" s="1607">
        <f>'Expenditures 15-22'!K279</f>
        <v>1582181</v>
      </c>
      <c r="H13" s="1607">
        <f>'Expenditures 15-22'!K303</f>
        <v>0</v>
      </c>
      <c r="I13" s="1575" t="s">
        <v>1158</v>
      </c>
      <c r="J13" s="1607">
        <f>'Expenditures 15-22'!K330</f>
        <v>370333</v>
      </c>
      <c r="K13" s="1618">
        <f>'Expenditures 15-22'!K352</f>
        <v>0</v>
      </c>
      <c r="L13" s="325"/>
    </row>
    <row r="14" spans="1:13" ht="15.75" customHeight="1" x14ac:dyDescent="0.2">
      <c r="A14" s="1314" t="s">
        <v>446</v>
      </c>
      <c r="B14" s="1316">
        <v>3000</v>
      </c>
      <c r="C14" s="1607">
        <f>'Expenditures 15-22'!K75</f>
        <v>2759326</v>
      </c>
      <c r="D14" s="1607">
        <f>'Expenditures 15-22'!K130</f>
        <v>0</v>
      </c>
      <c r="E14" s="1616" t="s">
        <v>1158</v>
      </c>
      <c r="F14" s="1607">
        <f>'Expenditures 15-22'!K185</f>
        <v>0</v>
      </c>
      <c r="G14" s="1607">
        <f>'Expenditures 15-22'!K280</f>
        <v>391676</v>
      </c>
      <c r="H14" s="1612"/>
      <c r="I14" s="1575" t="s">
        <v>1158</v>
      </c>
      <c r="J14" s="1575" t="s">
        <v>1158</v>
      </c>
      <c r="K14" s="1612" t="s">
        <v>1158</v>
      </c>
      <c r="L14" s="325"/>
    </row>
    <row r="15" spans="1:13" ht="15.75" customHeight="1" x14ac:dyDescent="0.2">
      <c r="A15" s="1314" t="s">
        <v>107</v>
      </c>
      <c r="B15" s="1316">
        <v>4000</v>
      </c>
      <c r="C15" s="1607">
        <f>'Expenditures 15-22'!K102</f>
        <v>6910940</v>
      </c>
      <c r="D15" s="1607">
        <f>'Expenditures 15-22'!K139</f>
        <v>0</v>
      </c>
      <c r="E15" s="1607">
        <f>'Expenditures 15-22'!K160</f>
        <v>0</v>
      </c>
      <c r="F15" s="1607">
        <f>'Expenditures 15-22'!K196</f>
        <v>0</v>
      </c>
      <c r="G15" s="1607">
        <f>'Expenditures 15-22'!K285</f>
        <v>30021</v>
      </c>
      <c r="H15" s="1607">
        <f>'Expenditures 15-22'!K310</f>
        <v>0</v>
      </c>
      <c r="I15" s="1575" t="s">
        <v>1158</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4903485</v>
      </c>
      <c r="F16" s="1607">
        <f>'Expenditures 15-22'!K208</f>
        <v>0</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90977440</v>
      </c>
      <c r="D17" s="1594">
        <f t="shared" si="2"/>
        <v>30260433</v>
      </c>
      <c r="E17" s="1594">
        <f t="shared" si="2"/>
        <v>4903485</v>
      </c>
      <c r="F17" s="1594">
        <f t="shared" si="2"/>
        <v>5023678</v>
      </c>
      <c r="G17" s="1594">
        <f t="shared" si="2"/>
        <v>3311865</v>
      </c>
      <c r="H17" s="1594">
        <f t="shared" si="2"/>
        <v>0</v>
      </c>
      <c r="I17" s="1575"/>
      <c r="J17" s="1594">
        <f>SUM(J12:J16)</f>
        <v>370333</v>
      </c>
      <c r="K17" s="1594">
        <f>SUM(K12:K16)</f>
        <v>0</v>
      </c>
      <c r="L17" s="325"/>
    </row>
    <row r="18" spans="1:12" ht="15" customHeight="1" thickTop="1" x14ac:dyDescent="0.2">
      <c r="A18" s="1430" t="s">
        <v>1632</v>
      </c>
      <c r="B18" s="1431">
        <v>4180</v>
      </c>
      <c r="C18" s="1606">
        <f t="shared" ref="C18:H18" si="3">C9</f>
        <v>33951592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124929032</v>
      </c>
      <c r="D19" s="1594">
        <f t="shared" si="4"/>
        <v>30260433</v>
      </c>
      <c r="E19" s="1594">
        <f t="shared" si="4"/>
        <v>4903485</v>
      </c>
      <c r="F19" s="1594">
        <f t="shared" si="4"/>
        <v>5023678</v>
      </c>
      <c r="G19" s="1594">
        <f t="shared" si="4"/>
        <v>3311865</v>
      </c>
      <c r="H19" s="1594">
        <f t="shared" si="4"/>
        <v>0</v>
      </c>
      <c r="I19" s="1575"/>
      <c r="J19" s="1594">
        <f>SUM(J17:J18)</f>
        <v>370333</v>
      </c>
      <c r="K19" s="1594">
        <f>SUM(K17:K18)</f>
        <v>0</v>
      </c>
      <c r="L19" s="325"/>
    </row>
    <row r="20" spans="1:12" ht="16.5" thickTop="1" thickBot="1" x14ac:dyDescent="0.25">
      <c r="A20" s="2232" t="s">
        <v>1633</v>
      </c>
      <c r="B20" s="2233"/>
      <c r="C20" s="1622">
        <f>C8-C17</f>
        <v>-10276951</v>
      </c>
      <c r="D20" s="1622">
        <f t="shared" ref="D20:K20" si="5">D8-D17</f>
        <v>-11853086</v>
      </c>
      <c r="E20" s="1622">
        <f t="shared" si="5"/>
        <v>-334485</v>
      </c>
      <c r="F20" s="1622">
        <f t="shared" si="5"/>
        <v>1508756</v>
      </c>
      <c r="G20" s="1622">
        <f t="shared" si="5"/>
        <v>-350707</v>
      </c>
      <c r="H20" s="1622">
        <f t="shared" si="5"/>
        <v>0</v>
      </c>
      <c r="I20" s="1622">
        <f t="shared" si="5"/>
        <v>596768</v>
      </c>
      <c r="J20" s="1622">
        <f t="shared" si="5"/>
        <v>-352652</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1634</v>
      </c>
      <c r="B24" s="454">
        <v>7110</v>
      </c>
      <c r="C24" s="1574"/>
      <c r="D24" s="1582"/>
      <c r="E24" s="1582"/>
      <c r="F24" s="1582"/>
      <c r="G24" s="1582"/>
      <c r="H24" s="1582"/>
      <c r="I24" s="1582"/>
      <c r="J24" s="1582"/>
      <c r="K24" s="1582"/>
      <c r="L24" s="453"/>
    </row>
    <row r="25" spans="1:12" s="433" customFormat="1" ht="13.5" customHeight="1" x14ac:dyDescent="0.2">
      <c r="A25" s="1260" t="s">
        <v>1635</v>
      </c>
      <c r="B25" s="454">
        <v>7110</v>
      </c>
      <c r="C25" s="1574"/>
      <c r="D25" s="1574">
        <v>133011</v>
      </c>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1378</v>
      </c>
      <c r="B28" s="432">
        <v>7140</v>
      </c>
      <c r="C28" s="1574"/>
      <c r="D28" s="1574">
        <v>1251189</v>
      </c>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1765</v>
      </c>
      <c r="B30" s="455">
        <v>7160</v>
      </c>
      <c r="C30" s="1582"/>
      <c r="D30" s="1574"/>
      <c r="E30" s="1582"/>
      <c r="F30" s="1582"/>
      <c r="G30" s="1582"/>
      <c r="H30" s="1582"/>
      <c r="I30" s="1582"/>
      <c r="J30" s="1582"/>
      <c r="K30" s="1582"/>
      <c r="L30" s="453"/>
    </row>
    <row r="31" spans="1:12" s="433" customFormat="1" ht="26.25" x14ac:dyDescent="0.2">
      <c r="A31" s="1260" t="s">
        <v>1769</v>
      </c>
      <c r="B31" s="455">
        <v>7170</v>
      </c>
      <c r="C31" s="1582"/>
      <c r="D31" s="1582"/>
      <c r="E31" s="1579"/>
      <c r="F31" s="1582"/>
      <c r="G31" s="1582"/>
      <c r="H31" s="1582"/>
      <c r="I31" s="1582"/>
      <c r="J31" s="1582"/>
      <c r="K31" s="1582"/>
      <c r="L31" s="453"/>
    </row>
    <row r="32" spans="1:12" s="433" customFormat="1" ht="15.75" customHeight="1" x14ac:dyDescent="0.2">
      <c r="A32" s="2238" t="s">
        <v>973</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993</v>
      </c>
      <c r="B34" s="454">
        <v>7220</v>
      </c>
      <c r="C34" s="1574"/>
      <c r="D34" s="1574"/>
      <c r="E34" s="1574"/>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1636</v>
      </c>
      <c r="B36" s="454">
        <v>7300</v>
      </c>
      <c r="C36" s="1574"/>
      <c r="D36" s="1574">
        <v>4226</v>
      </c>
      <c r="E36" s="1574"/>
      <c r="F36" s="1574"/>
      <c r="G36" s="1574"/>
      <c r="H36" s="1574"/>
      <c r="I36" s="1580"/>
      <c r="J36" s="1574"/>
      <c r="K36" s="1574"/>
      <c r="L36" s="453"/>
    </row>
    <row r="37" spans="1:12" s="433" customFormat="1" x14ac:dyDescent="0.2">
      <c r="A37" s="1260" t="s">
        <v>438</v>
      </c>
      <c r="B37" s="454">
        <v>7400</v>
      </c>
      <c r="C37" s="1580"/>
      <c r="D37" s="1580"/>
      <c r="E37" s="1607">
        <f>SUM(C54:D57,H54:H57)</f>
        <v>105643</v>
      </c>
      <c r="F37" s="1580"/>
      <c r="G37" s="1580"/>
      <c r="H37" s="1580"/>
      <c r="I37" s="1582"/>
      <c r="J37" s="1580"/>
      <c r="K37" s="1580"/>
      <c r="L37" s="453"/>
    </row>
    <row r="38" spans="1:12" s="433" customFormat="1" x14ac:dyDescent="0.2">
      <c r="A38" s="1260" t="s">
        <v>439</v>
      </c>
      <c r="B38" s="454">
        <v>7500</v>
      </c>
      <c r="C38" s="1582"/>
      <c r="D38" s="1582"/>
      <c r="E38" s="1607">
        <f>SUM(C58:D61,H58:H61)</f>
        <v>6861</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1388426</v>
      </c>
      <c r="E44" s="1624">
        <f t="shared" si="6"/>
        <v>112504</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1637</v>
      </c>
      <c r="B47" s="432">
        <v>8110</v>
      </c>
      <c r="C47" s="1582"/>
      <c r="D47" s="1582"/>
      <c r="E47" s="1582"/>
      <c r="F47" s="1582"/>
      <c r="G47" s="1582"/>
      <c r="H47" s="1582"/>
      <c r="I47" s="1607">
        <f>SUM(C24,C25:H25,J25:K25)</f>
        <v>133011</v>
      </c>
      <c r="J47" s="1582"/>
      <c r="K47" s="1582"/>
      <c r="L47" s="456"/>
    </row>
    <row r="48" spans="1:12" s="433" customFormat="1" ht="15" x14ac:dyDescent="0.2">
      <c r="A48" s="1261" t="s">
        <v>1638</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1378</v>
      </c>
      <c r="B50" s="432">
        <v>8140</v>
      </c>
      <c r="C50" s="1574">
        <v>1154367</v>
      </c>
      <c r="D50" s="1574"/>
      <c r="E50" s="1574">
        <v>40448</v>
      </c>
      <c r="F50" s="1574">
        <v>52894</v>
      </c>
      <c r="G50" s="1574"/>
      <c r="H50" s="1574"/>
      <c r="I50" s="1582"/>
      <c r="J50" s="1574">
        <v>3480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1768</v>
      </c>
      <c r="B52" s="432">
        <v>8160</v>
      </c>
      <c r="C52" s="1582"/>
      <c r="D52" s="1582"/>
      <c r="E52" s="1582"/>
      <c r="F52" s="1582"/>
      <c r="G52" s="1582"/>
      <c r="H52" s="1582"/>
      <c r="I52" s="1582"/>
      <c r="J52" s="1582"/>
      <c r="K52" s="1607">
        <f>D30</f>
        <v>0</v>
      </c>
      <c r="L52" s="453"/>
    </row>
    <row r="53" spans="1:12" s="433" customFormat="1" ht="26.25" x14ac:dyDescent="0.2">
      <c r="A53" s="1261" t="s">
        <v>1767</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v>105643</v>
      </c>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v>6861</v>
      </c>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1266871</v>
      </c>
      <c r="D76" s="1624">
        <f t="shared" si="7"/>
        <v>0</v>
      </c>
      <c r="E76" s="1624">
        <f t="shared" si="7"/>
        <v>40448</v>
      </c>
      <c r="F76" s="1624">
        <f t="shared" si="7"/>
        <v>52894</v>
      </c>
      <c r="G76" s="1624">
        <f t="shared" si="7"/>
        <v>0</v>
      </c>
      <c r="H76" s="1624">
        <f t="shared" si="7"/>
        <v>0</v>
      </c>
      <c r="I76" s="1624">
        <f t="shared" si="7"/>
        <v>133011</v>
      </c>
      <c r="J76" s="1624">
        <f t="shared" si="7"/>
        <v>3480</v>
      </c>
      <c r="K76" s="1624">
        <f t="shared" si="7"/>
        <v>0</v>
      </c>
      <c r="L76" s="453"/>
    </row>
    <row r="77" spans="1:12" ht="14.25" thickTop="1" thickBot="1" x14ac:dyDescent="0.25">
      <c r="A77" s="2224" t="s">
        <v>1166</v>
      </c>
      <c r="B77" s="2225"/>
      <c r="C77" s="1624">
        <f t="shared" ref="C77:K77" si="8">C44-C76</f>
        <v>-1266871</v>
      </c>
      <c r="D77" s="1624">
        <f t="shared" si="8"/>
        <v>1388426</v>
      </c>
      <c r="E77" s="1624">
        <f t="shared" si="8"/>
        <v>72056</v>
      </c>
      <c r="F77" s="1624">
        <f t="shared" si="8"/>
        <v>-52894</v>
      </c>
      <c r="G77" s="1624">
        <f t="shared" si="8"/>
        <v>0</v>
      </c>
      <c r="H77" s="1624">
        <f t="shared" si="8"/>
        <v>0</v>
      </c>
      <c r="I77" s="1624">
        <f t="shared" si="8"/>
        <v>-133011</v>
      </c>
      <c r="J77" s="1624">
        <f t="shared" si="8"/>
        <v>-3480</v>
      </c>
      <c r="K77" s="1624">
        <f t="shared" si="8"/>
        <v>0</v>
      </c>
      <c r="L77" s="325"/>
    </row>
    <row r="78" spans="1:12" ht="21.75" customHeight="1" thickTop="1" thickBot="1" x14ac:dyDescent="0.25">
      <c r="A78" s="2228" t="s">
        <v>593</v>
      </c>
      <c r="B78" s="2229"/>
      <c r="C78" s="1629">
        <f t="shared" ref="C78:K78" si="9">C20+C77</f>
        <v>-11543822</v>
      </c>
      <c r="D78" s="1629">
        <f t="shared" si="9"/>
        <v>-10464660</v>
      </c>
      <c r="E78" s="1629">
        <f t="shared" si="9"/>
        <v>-262429</v>
      </c>
      <c r="F78" s="1629">
        <f t="shared" si="9"/>
        <v>1455862</v>
      </c>
      <c r="G78" s="1629">
        <f t="shared" si="9"/>
        <v>-350707</v>
      </c>
      <c r="H78" s="1629">
        <f t="shared" si="9"/>
        <v>0</v>
      </c>
      <c r="I78" s="1629">
        <f t="shared" si="9"/>
        <v>463757</v>
      </c>
      <c r="J78" s="1629">
        <f t="shared" si="9"/>
        <v>-356132</v>
      </c>
      <c r="K78" s="1629">
        <f t="shared" si="9"/>
        <v>0</v>
      </c>
      <c r="L78" s="457"/>
    </row>
    <row r="79" spans="1:12" ht="13.5" thickTop="1" x14ac:dyDescent="0.2">
      <c r="A79" s="1844" t="str">
        <f>"Fund Balances - July 1, "&amp;'AFR20'!E2-1</f>
        <v>Fund Balances - July 1, 2019</v>
      </c>
      <c r="B79" s="458"/>
      <c r="C79" s="1583">
        <v>101168208</v>
      </c>
      <c r="D79" s="1630">
        <v>22039408</v>
      </c>
      <c r="E79" s="1630">
        <v>3795997</v>
      </c>
      <c r="F79" s="1630">
        <v>4186918</v>
      </c>
      <c r="G79" s="1630">
        <v>4571444</v>
      </c>
      <c r="H79" s="1630"/>
      <c r="I79" s="1630">
        <v>10821836</v>
      </c>
      <c r="J79" s="1630">
        <v>642164</v>
      </c>
      <c r="K79" s="1630">
        <v>1097</v>
      </c>
      <c r="L79" s="325"/>
    </row>
    <row r="80" spans="1:12" x14ac:dyDescent="0.2">
      <c r="A80" s="2234" t="s">
        <v>1766</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89624386</v>
      </c>
      <c r="D81" s="1594">
        <f>SUM(D78:D80)</f>
        <v>11574748</v>
      </c>
      <c r="E81" s="1594">
        <f t="shared" ref="E81:K81" si="10">SUM(E78:E80)</f>
        <v>3533568</v>
      </c>
      <c r="F81" s="1594">
        <f t="shared" si="10"/>
        <v>5642780</v>
      </c>
      <c r="G81" s="1594">
        <f t="shared" si="10"/>
        <v>4220737</v>
      </c>
      <c r="H81" s="1594">
        <f t="shared" si="10"/>
        <v>0</v>
      </c>
      <c r="I81" s="1594">
        <f t="shared" si="10"/>
        <v>11285593</v>
      </c>
      <c r="J81" s="1594">
        <f t="shared" si="10"/>
        <v>286032</v>
      </c>
      <c r="K81" s="1594">
        <f t="shared" si="10"/>
        <v>1097</v>
      </c>
      <c r="L81" s="325"/>
    </row>
    <row r="82" spans="1:12" ht="0.75" customHeight="1" thickTop="1" thickBot="1" x14ac:dyDescent="0.25">
      <c r="A82" s="459" t="s">
        <v>340</v>
      </c>
      <c r="B82" s="460"/>
      <c r="C82" s="461">
        <f>(C81-C79)</f>
        <v>-11543822</v>
      </c>
      <c r="D82" s="461">
        <f t="shared" ref="D82:K82" si="11">(D81-D79)</f>
        <v>-10464660</v>
      </c>
      <c r="E82" s="461">
        <f t="shared" si="11"/>
        <v>-262429</v>
      </c>
      <c r="F82" s="461">
        <f t="shared" si="11"/>
        <v>1455862</v>
      </c>
      <c r="G82" s="461">
        <f t="shared" si="11"/>
        <v>-350707</v>
      </c>
      <c r="H82" s="461">
        <f t="shared" si="11"/>
        <v>0</v>
      </c>
      <c r="I82" s="461">
        <f t="shared" si="11"/>
        <v>463757</v>
      </c>
      <c r="J82" s="461">
        <f t="shared" si="11"/>
        <v>-356132</v>
      </c>
      <c r="K82" s="461">
        <f t="shared" si="11"/>
        <v>0</v>
      </c>
    </row>
    <row r="83" spans="1:12" ht="14.25" hidden="1" thickTop="1" thickBot="1" x14ac:dyDescent="0.25">
      <c r="A83" s="462" t="s">
        <v>341</v>
      </c>
      <c r="B83" s="428"/>
      <c r="C83" s="463">
        <f>C82/C81</f>
        <v>-0.12880224362150722</v>
      </c>
      <c r="D83" s="463">
        <f t="shared" ref="D83:K83" si="12">D82/D81</f>
        <v>-0.90409398113894146</v>
      </c>
      <c r="E83" s="463">
        <f t="shared" si="12"/>
        <v>-7.4267426012461057E-2</v>
      </c>
      <c r="F83" s="463">
        <f t="shared" si="12"/>
        <v>0.25800438790808788</v>
      </c>
      <c r="G83" s="463">
        <f t="shared" si="12"/>
        <v>-8.30914127082545E-2</v>
      </c>
      <c r="H83" s="463" t="e">
        <f t="shared" si="12"/>
        <v>#DIV/0!</v>
      </c>
      <c r="I83" s="463">
        <f t="shared" si="12"/>
        <v>4.1092834022988425E-2</v>
      </c>
      <c r="J83" s="463">
        <f t="shared" si="12"/>
        <v>-1.2450774738490797</v>
      </c>
      <c r="K83" s="463">
        <f t="shared" si="12"/>
        <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00" activePane="bottomLeft" state="frozen"/>
      <selection pane="bottomLeft" activeCell="C107" sqref="C10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1773</v>
      </c>
      <c r="B1" s="416"/>
      <c r="C1" s="417" t="s">
        <v>422</v>
      </c>
      <c r="D1" s="417" t="s">
        <v>423</v>
      </c>
      <c r="E1" s="417" t="s">
        <v>424</v>
      </c>
      <c r="F1" s="417" t="s">
        <v>425</v>
      </c>
      <c r="G1" s="417" t="s">
        <v>426</v>
      </c>
      <c r="H1" s="417" t="s">
        <v>427</v>
      </c>
      <c r="I1" s="417" t="s">
        <v>428</v>
      </c>
      <c r="J1" s="417" t="s">
        <v>429</v>
      </c>
      <c r="K1" s="417" t="s">
        <v>750</v>
      </c>
    </row>
    <row r="2" spans="1:12" ht="36" x14ac:dyDescent="0.2">
      <c r="A2" s="2231"/>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1639</v>
      </c>
      <c r="B5" s="470"/>
      <c r="C5" s="1586">
        <v>60906391</v>
      </c>
      <c r="D5" s="1586">
        <v>17851102</v>
      </c>
      <c r="E5" s="1573">
        <v>4528552</v>
      </c>
      <c r="F5" s="1631">
        <v>4823462</v>
      </c>
      <c r="G5" s="1573">
        <v>1601558</v>
      </c>
      <c r="H5" s="1573"/>
      <c r="I5" s="1573">
        <v>463757</v>
      </c>
      <c r="J5" s="1574">
        <v>14201</v>
      </c>
      <c r="K5" s="1573"/>
    </row>
    <row r="6" spans="1:12" ht="15" x14ac:dyDescent="0.2">
      <c r="A6" s="427" t="s">
        <v>1640</v>
      </c>
      <c r="B6" s="429">
        <v>1130</v>
      </c>
      <c r="C6" s="1573"/>
      <c r="D6" s="1573"/>
      <c r="E6" s="1580"/>
      <c r="F6" s="1580"/>
      <c r="G6" s="1575"/>
      <c r="H6" s="1575"/>
      <c r="I6" s="1575"/>
      <c r="J6" s="1575"/>
      <c r="K6" s="1575"/>
    </row>
    <row r="7" spans="1:12" x14ac:dyDescent="0.2">
      <c r="A7" s="427" t="s">
        <v>110</v>
      </c>
      <c r="B7" s="471">
        <v>1140</v>
      </c>
      <c r="C7" s="1573">
        <v>6204979</v>
      </c>
      <c r="D7" s="1573"/>
      <c r="E7" s="1575"/>
      <c r="F7" s="1574"/>
      <c r="G7" s="1574"/>
      <c r="H7" s="1574"/>
      <c r="I7" s="1575"/>
      <c r="J7" s="1575"/>
      <c r="K7" s="1575"/>
    </row>
    <row r="8" spans="1:12" x14ac:dyDescent="0.2">
      <c r="A8" s="427" t="s">
        <v>410</v>
      </c>
      <c r="B8" s="429">
        <v>1150</v>
      </c>
      <c r="C8" s="1580"/>
      <c r="D8" s="1580"/>
      <c r="E8" s="1582"/>
      <c r="F8" s="1582"/>
      <c r="G8" s="1586">
        <v>1148417</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67111370</v>
      </c>
      <c r="D12" s="1633">
        <f t="shared" si="0"/>
        <v>17851102</v>
      </c>
      <c r="E12" s="1633">
        <f t="shared" si="0"/>
        <v>4528552</v>
      </c>
      <c r="F12" s="1633">
        <f t="shared" si="0"/>
        <v>4823462</v>
      </c>
      <c r="G12" s="1633">
        <f t="shared" si="0"/>
        <v>2749975</v>
      </c>
      <c r="H12" s="1633">
        <f t="shared" si="0"/>
        <v>0</v>
      </c>
      <c r="I12" s="1633">
        <f t="shared" si="0"/>
        <v>463757</v>
      </c>
      <c r="J12" s="1633">
        <f t="shared" si="0"/>
        <v>14201</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1641</v>
      </c>
      <c r="B16" s="471">
        <v>1230</v>
      </c>
      <c r="C16" s="1632"/>
      <c r="D16" s="1573">
        <v>150000</v>
      </c>
      <c r="E16" s="1573"/>
      <c r="F16" s="1573"/>
      <c r="G16" s="1573">
        <v>159274</v>
      </c>
      <c r="H16" s="1573"/>
      <c r="I16" s="1573"/>
      <c r="J16" s="1574"/>
      <c r="K16" s="1573"/>
    </row>
    <row r="17" spans="1:11" ht="12.75" customHeight="1" x14ac:dyDescent="0.2">
      <c r="A17" s="427" t="s">
        <v>801</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150000</v>
      </c>
      <c r="E18" s="1635">
        <f t="shared" si="1"/>
        <v>0</v>
      </c>
      <c r="F18" s="1635">
        <f t="shared" si="1"/>
        <v>0</v>
      </c>
      <c r="G18" s="1635">
        <f t="shared" si="1"/>
        <v>159274</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1063</v>
      </c>
      <c r="B20" s="429">
        <v>1311</v>
      </c>
      <c r="C20" s="1573"/>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1064</v>
      </c>
      <c r="B22" s="429">
        <v>1313</v>
      </c>
      <c r="C22" s="1632">
        <v>139010</v>
      </c>
      <c r="D22" s="1575"/>
      <c r="E22" s="1575"/>
      <c r="F22" s="1575"/>
      <c r="G22" s="1575"/>
      <c r="H22" s="1575"/>
      <c r="I22" s="1575"/>
      <c r="J22" s="1575"/>
      <c r="K22" s="1575"/>
    </row>
    <row r="23" spans="1:11" ht="12.75" customHeight="1" x14ac:dyDescent="0.2">
      <c r="A23" s="427" t="s">
        <v>1065</v>
      </c>
      <c r="B23" s="429">
        <v>1314</v>
      </c>
      <c r="C23" s="1598"/>
      <c r="D23" s="1575"/>
      <c r="E23" s="1575"/>
      <c r="F23" s="1575"/>
      <c r="G23" s="1575"/>
      <c r="H23" s="1575"/>
      <c r="I23" s="1575"/>
      <c r="J23" s="1575"/>
      <c r="K23" s="1575"/>
    </row>
    <row r="24" spans="1:11" ht="12.75" customHeight="1" x14ac:dyDescent="0.2">
      <c r="A24" s="427" t="s">
        <v>1019</v>
      </c>
      <c r="B24" s="429">
        <v>1321</v>
      </c>
      <c r="C24" s="1632">
        <v>915049</v>
      </c>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1091</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1054059</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1163</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1096</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1097</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1098</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2319403</v>
      </c>
      <c r="D65" s="1573">
        <v>164554</v>
      </c>
      <c r="E65" s="1573">
        <v>40448</v>
      </c>
      <c r="F65" s="1574">
        <v>52894</v>
      </c>
      <c r="G65" s="1573">
        <v>51909</v>
      </c>
      <c r="H65" s="1573"/>
      <c r="I65" s="1573">
        <v>133011</v>
      </c>
      <c r="J65" s="1574">
        <v>3480</v>
      </c>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2319403</v>
      </c>
      <c r="D67" s="1594">
        <f t="shared" ref="D67:K67" si="2">SUM(D65:D66)</f>
        <v>164554</v>
      </c>
      <c r="E67" s="1594">
        <f t="shared" si="2"/>
        <v>40448</v>
      </c>
      <c r="F67" s="1594">
        <f t="shared" si="2"/>
        <v>52894</v>
      </c>
      <c r="G67" s="1594">
        <f t="shared" si="2"/>
        <v>51909</v>
      </c>
      <c r="H67" s="1594">
        <f t="shared" si="2"/>
        <v>0</v>
      </c>
      <c r="I67" s="1594">
        <f t="shared" si="2"/>
        <v>133011</v>
      </c>
      <c r="J67" s="1594">
        <f t="shared" si="2"/>
        <v>3480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2189191</v>
      </c>
      <c r="D69" s="1575"/>
      <c r="E69" s="1575"/>
      <c r="F69" s="1575"/>
      <c r="G69" s="1575"/>
      <c r="H69" s="1575"/>
      <c r="I69" s="1575"/>
      <c r="J69" s="1575"/>
      <c r="K69" s="1575"/>
    </row>
    <row r="70" spans="1:11" ht="12.75" customHeight="1" x14ac:dyDescent="0.2">
      <c r="A70" s="427" t="s">
        <v>989</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2189191</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545</v>
      </c>
      <c r="B77" s="429">
        <v>1711</v>
      </c>
      <c r="C77" s="1613">
        <v>38521</v>
      </c>
      <c r="D77" s="1573"/>
      <c r="E77" s="1575"/>
      <c r="F77" s="1575"/>
      <c r="G77" s="1575"/>
      <c r="H77" s="1575"/>
      <c r="I77" s="1575"/>
      <c r="J77" s="1575"/>
      <c r="K77" s="1575"/>
    </row>
    <row r="78" spans="1:11" ht="12.75" customHeight="1" x14ac:dyDescent="0.2">
      <c r="A78" s="427" t="s">
        <v>76</v>
      </c>
      <c r="B78" s="429">
        <v>1719</v>
      </c>
      <c r="C78" s="1632">
        <v>35392</v>
      </c>
      <c r="D78" s="1573"/>
      <c r="E78" s="1575"/>
      <c r="F78" s="1575"/>
      <c r="G78" s="1575"/>
      <c r="H78" s="1575"/>
      <c r="I78" s="1575"/>
      <c r="J78" s="1575"/>
      <c r="K78" s="1575"/>
    </row>
    <row r="79" spans="1:11" ht="12.75" customHeight="1" x14ac:dyDescent="0.2">
      <c r="A79" s="427" t="s">
        <v>546</v>
      </c>
      <c r="B79" s="429">
        <v>1720</v>
      </c>
      <c r="C79" s="1632">
        <v>822107</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716873</v>
      </c>
      <c r="D81" s="1573"/>
      <c r="E81" s="1575"/>
      <c r="F81" s="1575"/>
      <c r="G81" s="1575"/>
      <c r="H81" s="1575"/>
      <c r="I81" s="1575"/>
      <c r="J81" s="1575"/>
      <c r="K81" s="1575"/>
    </row>
    <row r="82" spans="1:11" ht="12.75" customHeight="1" thickBot="1" x14ac:dyDescent="0.25">
      <c r="A82" s="1406" t="s">
        <v>239</v>
      </c>
      <c r="B82" s="1407"/>
      <c r="C82" s="1633">
        <f>SUM(C77:C81)</f>
        <v>1612893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815850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815850</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c r="D95" s="1632">
        <v>88308</v>
      </c>
      <c r="E95" s="1617"/>
      <c r="F95" s="1617"/>
      <c r="G95" s="1617"/>
      <c r="H95" s="1617"/>
      <c r="I95" s="1617"/>
      <c r="J95" s="1617"/>
      <c r="K95" s="1617"/>
    </row>
    <row r="96" spans="1:11" ht="12.75" customHeight="1" x14ac:dyDescent="0.2">
      <c r="A96" s="427" t="s">
        <v>388</v>
      </c>
      <c r="B96" s="429">
        <v>1920</v>
      </c>
      <c r="C96" s="1632"/>
      <c r="D96" s="1632">
        <v>43940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815</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89900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824</v>
      </c>
      <c r="B104" s="429">
        <v>1991</v>
      </c>
      <c r="C104" s="1598"/>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1410</v>
      </c>
      <c r="B106" s="429">
        <v>1993</v>
      </c>
      <c r="C106" s="1573"/>
      <c r="D106" s="1598"/>
      <c r="E106" s="1574"/>
      <c r="F106" s="1574"/>
      <c r="G106" s="1574"/>
      <c r="H106" s="1574"/>
      <c r="I106" s="1617"/>
      <c r="J106" s="1574"/>
      <c r="K106" s="1574"/>
    </row>
    <row r="107" spans="1:12" ht="12.75" customHeight="1" x14ac:dyDescent="0.2">
      <c r="A107" s="427" t="s">
        <v>78</v>
      </c>
      <c r="B107" s="429">
        <v>1999</v>
      </c>
      <c r="C107" s="1632">
        <v>20668</v>
      </c>
      <c r="D107" s="1573">
        <f>109443-50000</f>
        <v>59443</v>
      </c>
      <c r="E107" s="1573"/>
      <c r="F107" s="1573"/>
      <c r="G107" s="1573"/>
      <c r="H107" s="1573"/>
      <c r="I107" s="1573"/>
      <c r="J107" s="1574"/>
      <c r="K107" s="1573"/>
    </row>
    <row r="108" spans="1:12" ht="12.75" customHeight="1" thickBot="1" x14ac:dyDescent="0.25">
      <c r="A108" s="1406" t="s">
        <v>484</v>
      </c>
      <c r="B108" s="1408"/>
      <c r="C108" s="1633">
        <f>SUM(C95:C107)</f>
        <v>110568</v>
      </c>
      <c r="D108" s="1633">
        <f t="shared" ref="D108:K108" si="3">SUM(D95:D107)</f>
        <v>191691</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75213334</v>
      </c>
      <c r="D109" s="1641">
        <f t="shared" si="4"/>
        <v>18357347</v>
      </c>
      <c r="E109" s="1641">
        <f t="shared" si="4"/>
        <v>4569000</v>
      </c>
      <c r="F109" s="1641">
        <f t="shared" si="4"/>
        <v>4876356</v>
      </c>
      <c r="G109" s="1641">
        <f t="shared" si="4"/>
        <v>2961158</v>
      </c>
      <c r="H109" s="1641">
        <f t="shared" si="4"/>
        <v>0</v>
      </c>
      <c r="I109" s="1641">
        <f t="shared" si="4"/>
        <v>596768</v>
      </c>
      <c r="J109" s="1641">
        <f t="shared" si="4"/>
        <v>17681</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565</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1471</v>
      </c>
      <c r="B116" s="1334"/>
      <c r="C116" s="1643"/>
      <c r="D116" s="1617"/>
      <c r="E116" s="1640"/>
      <c r="F116" s="1617"/>
      <c r="G116" s="1617"/>
      <c r="H116" s="1640"/>
      <c r="I116" s="1575"/>
      <c r="J116" s="1617"/>
      <c r="K116" s="1617"/>
    </row>
    <row r="117" spans="1:11" ht="12.75" customHeight="1" x14ac:dyDescent="0.2">
      <c r="A117" s="427" t="s">
        <v>1645</v>
      </c>
      <c r="B117" s="478">
        <v>3001</v>
      </c>
      <c r="C117" s="1613">
        <v>2556880</v>
      </c>
      <c r="D117" s="1586"/>
      <c r="E117" s="1573"/>
      <c r="F117" s="1586"/>
      <c r="G117" s="1586"/>
      <c r="H117" s="1573"/>
      <c r="I117" s="1575"/>
      <c r="J117" s="1574"/>
      <c r="K117" s="1573"/>
    </row>
    <row r="118" spans="1:11" ht="12.75" customHeight="1" x14ac:dyDescent="0.2">
      <c r="A118" s="427" t="s">
        <v>1770</v>
      </c>
      <c r="B118" s="478">
        <v>3002</v>
      </c>
      <c r="C118" s="1632"/>
      <c r="D118" s="1573"/>
      <c r="E118" s="1573"/>
      <c r="F118" s="1573"/>
      <c r="G118" s="1573"/>
      <c r="H118" s="1573"/>
      <c r="I118" s="1575"/>
      <c r="J118" s="1574"/>
      <c r="K118" s="1573"/>
    </row>
    <row r="119" spans="1:11" ht="12.75" customHeight="1" x14ac:dyDescent="0.2">
      <c r="A119" s="427" t="s">
        <v>1771</v>
      </c>
      <c r="B119" s="478">
        <v>3005</v>
      </c>
      <c r="C119" s="1632"/>
      <c r="D119" s="1573"/>
      <c r="E119" s="1573"/>
      <c r="F119" s="1573"/>
      <c r="G119" s="1573"/>
      <c r="H119" s="1573"/>
      <c r="I119" s="1575"/>
      <c r="J119" s="1574"/>
      <c r="K119" s="1573"/>
    </row>
    <row r="120" spans="1:11" ht="12.75" customHeight="1" x14ac:dyDescent="0.2">
      <c r="A120" s="1539" t="s">
        <v>1889</v>
      </c>
      <c r="B120" s="478">
        <v>3030</v>
      </c>
      <c r="C120" s="1632"/>
      <c r="D120" s="1573"/>
      <c r="E120" s="1573"/>
      <c r="F120" s="1573"/>
      <c r="G120" s="1573"/>
      <c r="H120" s="1573"/>
      <c r="I120" s="1575"/>
      <c r="J120" s="1574"/>
      <c r="K120" s="1573"/>
    </row>
    <row r="121" spans="1:11" x14ac:dyDescent="0.2">
      <c r="A121" s="1266" t="s">
        <v>1772</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2556880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1470</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860</v>
      </c>
      <c r="B125" s="481">
        <v>3100</v>
      </c>
      <c r="C125" s="1586">
        <v>424092</v>
      </c>
      <c r="D125" s="1640"/>
      <c r="E125" s="1575"/>
      <c r="F125" s="1631"/>
      <c r="G125" s="1575"/>
      <c r="H125" s="1575"/>
      <c r="I125" s="1575"/>
      <c r="J125" s="1575"/>
      <c r="K125" s="1575"/>
    </row>
    <row r="126" spans="1:11" ht="12.75" customHeight="1" x14ac:dyDescent="0.2">
      <c r="A126" s="427" t="s">
        <v>1426</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1427</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424092</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47748</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47748</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49387</v>
      </c>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1428</v>
      </c>
      <c r="B152" s="478">
        <v>3500</v>
      </c>
      <c r="C152" s="1632"/>
      <c r="D152" s="1573"/>
      <c r="E152" s="1640"/>
      <c r="F152" s="1573">
        <v>652278</v>
      </c>
      <c r="G152" s="1574"/>
      <c r="H152" s="1575"/>
      <c r="I152" s="1575"/>
      <c r="J152" s="1575"/>
      <c r="K152" s="1575"/>
    </row>
    <row r="153" spans="1:11" ht="12.75" customHeight="1" x14ac:dyDescent="0.2">
      <c r="A153" s="427" t="s">
        <v>1047</v>
      </c>
      <c r="B153" s="478">
        <v>3510</v>
      </c>
      <c r="C153" s="1632"/>
      <c r="D153" s="1573"/>
      <c r="E153" s="1640"/>
      <c r="F153" s="1573">
        <v>1003800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1656078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1041</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1429</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v>50000</v>
      </c>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768641</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1289868</v>
      </c>
      <c r="D169" s="1658">
        <f t="shared" si="6"/>
        <v>50000</v>
      </c>
      <c r="E169" s="1658">
        <f t="shared" si="6"/>
        <v>0</v>
      </c>
      <c r="F169" s="1658">
        <f t="shared" si="6"/>
        <v>1656078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3846748</v>
      </c>
      <c r="D170" s="1641">
        <f t="shared" si="7"/>
        <v>50000</v>
      </c>
      <c r="E170" s="1641">
        <f t="shared" si="7"/>
        <v>0</v>
      </c>
      <c r="F170" s="1641">
        <f t="shared" si="7"/>
        <v>1656078</v>
      </c>
      <c r="G170" s="1641">
        <f t="shared" si="7"/>
        <v>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52" t="s">
        <v>1472</v>
      </c>
      <c r="B172" s="2253"/>
      <c r="C172" s="1616"/>
      <c r="D172" s="1616"/>
      <c r="E172" s="1609"/>
      <c r="F172" s="1575"/>
      <c r="G172" s="1575"/>
      <c r="H172" s="1575"/>
      <c r="I172" s="1575"/>
      <c r="J172" s="1575"/>
      <c r="K172" s="1575"/>
    </row>
    <row r="173" spans="1:11" ht="12.6" customHeight="1" x14ac:dyDescent="0.2">
      <c r="A173" s="436" t="s">
        <v>1034</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56" t="s">
        <v>1643</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1642</v>
      </c>
      <c r="B176" s="2261"/>
      <c r="C176" s="1659"/>
      <c r="D176" s="1660"/>
      <c r="E176" s="1661"/>
      <c r="F176" s="1662"/>
      <c r="G176" s="1662"/>
      <c r="H176" s="1662"/>
      <c r="I176" s="1662"/>
      <c r="J176" s="1662"/>
      <c r="K176" s="1662"/>
    </row>
    <row r="177" spans="1:11" ht="12.75" customHeight="1" x14ac:dyDescent="0.2">
      <c r="A177" s="427" t="s">
        <v>1035</v>
      </c>
      <c r="B177" s="429">
        <v>4045</v>
      </c>
      <c r="C177" s="1632"/>
      <c r="D177" s="1575"/>
      <c r="E177" s="1640"/>
      <c r="F177" s="1575"/>
      <c r="G177" s="1575"/>
      <c r="H177" s="1575"/>
      <c r="I177" s="1575"/>
      <c r="J177" s="1575"/>
      <c r="K177" s="1575"/>
    </row>
    <row r="178" spans="1:11" ht="12.75" customHeight="1" x14ac:dyDescent="0.2">
      <c r="A178" s="427" t="s">
        <v>1036</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c r="D180" s="1573"/>
      <c r="E180" s="1575"/>
      <c r="F180" s="1573"/>
      <c r="G180" s="1573"/>
      <c r="H180" s="1573"/>
      <c r="I180" s="1575"/>
      <c r="J180" s="1575"/>
      <c r="K180" s="1573"/>
    </row>
    <row r="181" spans="1:11" ht="13.5" thickBot="1" x14ac:dyDescent="0.25">
      <c r="A181" s="2258" t="s">
        <v>779</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1774</v>
      </c>
      <c r="B182" s="2255"/>
      <c r="C182" s="1663"/>
      <c r="D182" s="1645"/>
      <c r="E182" s="1609"/>
      <c r="F182" s="1645"/>
      <c r="G182" s="1645"/>
      <c r="H182" s="1575"/>
      <c r="I182" s="1575"/>
      <c r="J182" s="1575"/>
      <c r="K182" s="1575"/>
    </row>
    <row r="183" spans="1:11" ht="15.75" customHeight="1" x14ac:dyDescent="0.2">
      <c r="A183" s="1341" t="s">
        <v>1582</v>
      </c>
      <c r="B183" s="1342"/>
      <c r="C183" s="1643"/>
      <c r="D183" s="1617"/>
      <c r="E183" s="1609"/>
      <c r="F183" s="1617"/>
      <c r="G183" s="1617"/>
      <c r="H183" s="1575"/>
      <c r="I183" s="1575"/>
      <c r="J183" s="1575"/>
      <c r="K183" s="1575"/>
    </row>
    <row r="184" spans="1:11" ht="12.75" customHeight="1" x14ac:dyDescent="0.2">
      <c r="A184" s="427" t="s">
        <v>1583</v>
      </c>
      <c r="B184" s="429">
        <v>4100</v>
      </c>
      <c r="C184" s="1613"/>
      <c r="D184" s="1586"/>
      <c r="E184" s="1640"/>
      <c r="F184" s="1586"/>
      <c r="G184" s="1586"/>
      <c r="H184" s="1575"/>
      <c r="I184" s="1575"/>
      <c r="J184" s="1575"/>
      <c r="K184" s="1575"/>
    </row>
    <row r="185" spans="1:11" ht="12.75" customHeight="1" x14ac:dyDescent="0.2">
      <c r="A185" s="427" t="s">
        <v>1584</v>
      </c>
      <c r="B185" s="429">
        <v>4105</v>
      </c>
      <c r="C185" s="1632"/>
      <c r="D185" s="1573"/>
      <c r="E185" s="1640"/>
      <c r="F185" s="1573"/>
      <c r="G185" s="1573"/>
      <c r="H185" s="1575"/>
      <c r="I185" s="1575"/>
      <c r="J185" s="1575"/>
      <c r="K185" s="1575"/>
    </row>
    <row r="186" spans="1:11" ht="12.75" customHeight="1" x14ac:dyDescent="0.2">
      <c r="A186" s="427" t="s">
        <v>1586</v>
      </c>
      <c r="B186" s="429">
        <v>4107</v>
      </c>
      <c r="C186" s="1632"/>
      <c r="D186" s="1573"/>
      <c r="E186" s="1640"/>
      <c r="F186" s="1573"/>
      <c r="G186" s="1573"/>
      <c r="H186" s="1575"/>
      <c r="I186" s="1575"/>
      <c r="J186" s="1575"/>
      <c r="K186" s="1575"/>
    </row>
    <row r="187" spans="1:11" ht="12.75" customHeight="1" x14ac:dyDescent="0.2">
      <c r="A187" s="427" t="s">
        <v>1585</v>
      </c>
      <c r="B187" s="429">
        <v>4199</v>
      </c>
      <c r="C187" s="1632"/>
      <c r="D187" s="1573"/>
      <c r="E187" s="1640"/>
      <c r="F187" s="1573"/>
      <c r="G187" s="1573"/>
      <c r="H187" s="1575"/>
      <c r="I187" s="1575"/>
      <c r="J187" s="1575"/>
      <c r="K187" s="1575"/>
    </row>
    <row r="188" spans="1:11" ht="12.75" customHeight="1" thickBot="1" x14ac:dyDescent="0.25">
      <c r="A188" s="1406" t="s">
        <v>1587</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1430</v>
      </c>
      <c r="B190" s="429">
        <v>4200</v>
      </c>
      <c r="C190" s="1574"/>
      <c r="D190" s="1575"/>
      <c r="E190" s="1640"/>
      <c r="F190" s="1634"/>
      <c r="G190" s="1664"/>
      <c r="H190" s="1575"/>
      <c r="I190" s="1575"/>
      <c r="J190" s="1575"/>
      <c r="K190" s="1575"/>
    </row>
    <row r="191" spans="1:11" ht="12.75" customHeight="1" x14ac:dyDescent="0.2">
      <c r="A191" s="427" t="s">
        <v>1048</v>
      </c>
      <c r="B191" s="429">
        <v>4210</v>
      </c>
      <c r="C191" s="1573"/>
      <c r="D191" s="1575"/>
      <c r="E191" s="1640"/>
      <c r="F191" s="1575"/>
      <c r="G191" s="1664"/>
      <c r="H191" s="1575"/>
      <c r="I191" s="1575"/>
      <c r="J191" s="1575"/>
      <c r="K191" s="1575"/>
    </row>
    <row r="192" spans="1:11" ht="12.75" customHeight="1" x14ac:dyDescent="0.2">
      <c r="A192" s="427" t="s">
        <v>1037</v>
      </c>
      <c r="B192" s="429">
        <v>4215</v>
      </c>
      <c r="C192" s="1632"/>
      <c r="D192" s="1575"/>
      <c r="E192" s="1640"/>
      <c r="F192" s="1575"/>
      <c r="G192" s="1664"/>
      <c r="H192" s="1575"/>
      <c r="I192" s="1575"/>
      <c r="J192" s="1575"/>
      <c r="K192" s="1575"/>
    </row>
    <row r="193" spans="1:11" ht="12.75" customHeight="1" x14ac:dyDescent="0.2">
      <c r="A193" s="427" t="s">
        <v>1049</v>
      </c>
      <c r="B193" s="429">
        <v>4220</v>
      </c>
      <c r="C193" s="1632"/>
      <c r="D193" s="1575"/>
      <c r="E193" s="1640"/>
      <c r="F193" s="1575"/>
      <c r="G193" s="1664"/>
      <c r="H193" s="1575"/>
      <c r="I193" s="1575"/>
      <c r="J193" s="1575"/>
      <c r="K193" s="1575"/>
    </row>
    <row r="194" spans="1:11" ht="12.75" customHeight="1" x14ac:dyDescent="0.2">
      <c r="A194" s="427" t="s">
        <v>1431</v>
      </c>
      <c r="B194" s="429">
        <v>4225</v>
      </c>
      <c r="C194" s="1632"/>
      <c r="D194" s="1575"/>
      <c r="E194" s="1640"/>
      <c r="F194" s="1575"/>
      <c r="G194" s="1664"/>
      <c r="H194" s="1575"/>
      <c r="I194" s="1575"/>
      <c r="J194" s="1575"/>
      <c r="K194" s="1575"/>
    </row>
    <row r="195" spans="1:11" ht="12.75" customHeight="1" x14ac:dyDescent="0.2">
      <c r="A195" s="427" t="s">
        <v>1432</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c r="D206" s="1573"/>
      <c r="E206" s="1575"/>
      <c r="F206" s="1573"/>
      <c r="G206" s="1573"/>
      <c r="H206" s="1575"/>
      <c r="I206" s="1575"/>
      <c r="J206" s="1575"/>
      <c r="K206" s="1575"/>
    </row>
    <row r="207" spans="1:11" ht="12.75" customHeight="1" x14ac:dyDescent="0.2">
      <c r="A207" s="427" t="s">
        <v>1433</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0</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c r="D211" s="1573"/>
      <c r="E211" s="1575"/>
      <c r="F211" s="1573"/>
      <c r="G211" s="1573"/>
      <c r="H211" s="1575"/>
      <c r="I211" s="1575"/>
      <c r="J211" s="1575"/>
      <c r="K211" s="1575"/>
    </row>
    <row r="212" spans="1:11" ht="12.75" customHeight="1" x14ac:dyDescent="0.2">
      <c r="A212" s="427" t="s">
        <v>1043</v>
      </c>
      <c r="B212" s="429">
        <v>4605</v>
      </c>
      <c r="C212" s="1632"/>
      <c r="D212" s="1573"/>
      <c r="E212" s="1575"/>
      <c r="F212" s="1573"/>
      <c r="G212" s="1573"/>
      <c r="H212" s="1575"/>
      <c r="I212" s="1575"/>
      <c r="J212" s="1575"/>
      <c r="K212" s="1575"/>
    </row>
    <row r="213" spans="1:11" ht="12.75" customHeight="1" x14ac:dyDescent="0.2">
      <c r="A213" s="427" t="s">
        <v>1434</v>
      </c>
      <c r="B213" s="475">
        <v>4620</v>
      </c>
      <c r="C213" s="1632">
        <v>633423</v>
      </c>
      <c r="D213" s="1573"/>
      <c r="E213" s="1575"/>
      <c r="F213" s="1573"/>
      <c r="G213" s="1573"/>
      <c r="H213" s="1575"/>
      <c r="I213" s="1575"/>
      <c r="J213" s="1575"/>
      <c r="K213" s="1575"/>
    </row>
    <row r="214" spans="1:11" ht="12.75" customHeight="1" x14ac:dyDescent="0.2">
      <c r="A214" s="427" t="s">
        <v>1044</v>
      </c>
      <c r="B214" s="429">
        <v>4625</v>
      </c>
      <c r="C214" s="1632">
        <v>602137</v>
      </c>
      <c r="D214" s="1573"/>
      <c r="E214" s="1575"/>
      <c r="F214" s="1573"/>
      <c r="G214" s="1573"/>
      <c r="H214" s="1575"/>
      <c r="I214" s="1575"/>
      <c r="J214" s="1575"/>
      <c r="K214" s="1575"/>
    </row>
    <row r="215" spans="1:11" ht="12.75" customHeight="1" x14ac:dyDescent="0.2">
      <c r="A215" s="427" t="s">
        <v>1045</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1235560</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v>16432</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1075</v>
      </c>
      <c r="B221" s="1416"/>
      <c r="C221" s="1633">
        <f>SUM(C219:C220)</f>
        <v>16432</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1117</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1435</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1401</v>
      </c>
      <c r="B253" s="487">
        <v>4901</v>
      </c>
      <c r="C253" s="1666"/>
      <c r="D253" s="1576"/>
      <c r="E253" s="1575"/>
      <c r="F253" s="1575"/>
      <c r="G253" s="1575"/>
      <c r="H253" s="1575"/>
      <c r="I253" s="1575"/>
      <c r="J253" s="1575"/>
      <c r="K253" s="1575"/>
    </row>
    <row r="254" spans="1:11" ht="12.75" customHeight="1" thickTop="1" thickBot="1" x14ac:dyDescent="0.25">
      <c r="A254" s="1273" t="s">
        <v>1443</v>
      </c>
      <c r="B254" s="488">
        <v>4902</v>
      </c>
      <c r="C254" s="1667"/>
      <c r="D254" s="1668"/>
      <c r="E254" s="1576"/>
      <c r="F254" s="1668"/>
      <c r="G254" s="1668"/>
      <c r="H254" s="1576"/>
      <c r="I254" s="1575"/>
      <c r="J254" s="1576"/>
      <c r="K254" s="1576"/>
    </row>
    <row r="255" spans="1:11" ht="12.75" customHeight="1" thickTop="1" thickBot="1" x14ac:dyDescent="0.25">
      <c r="A255" s="427" t="s">
        <v>1436</v>
      </c>
      <c r="B255" s="429">
        <v>4905</v>
      </c>
      <c r="C255" s="1649"/>
      <c r="D255" s="1575"/>
      <c r="E255" s="1575"/>
      <c r="F255" s="1653"/>
      <c r="G255" s="1649"/>
      <c r="H255" s="1575"/>
      <c r="I255" s="1575"/>
      <c r="J255" s="1575"/>
      <c r="K255" s="1575"/>
    </row>
    <row r="256" spans="1:11" ht="12.75" customHeight="1" thickTop="1" thickBot="1" x14ac:dyDescent="0.25">
      <c r="A256" s="427" t="s">
        <v>1437</v>
      </c>
      <c r="B256" s="429">
        <v>4909</v>
      </c>
      <c r="C256" s="1651">
        <v>13900</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v>86939</v>
      </c>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1890</v>
      </c>
      <c r="B261" s="429">
        <v>4981</v>
      </c>
      <c r="C261" s="1650"/>
      <c r="D261" s="1651"/>
      <c r="E261" s="1575"/>
      <c r="F261" s="1651"/>
      <c r="G261" s="1651"/>
      <c r="H261" s="1575"/>
      <c r="I261" s="1575"/>
      <c r="J261" s="1575"/>
      <c r="K261" s="1575"/>
    </row>
    <row r="262" spans="1:11" ht="12.75" customHeight="1" thickTop="1" thickBot="1" x14ac:dyDescent="0.25">
      <c r="A262" s="1540" t="s">
        <v>1891</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27894</v>
      </c>
      <c r="D263" s="1651"/>
      <c r="E263" s="1575"/>
      <c r="F263" s="1651"/>
      <c r="G263" s="1651"/>
      <c r="H263" s="1575"/>
      <c r="I263" s="1575"/>
      <c r="J263" s="1575"/>
      <c r="K263" s="1575"/>
    </row>
    <row r="264" spans="1:11" ht="12.75" customHeight="1" thickTop="1" thickBot="1" x14ac:dyDescent="0.25">
      <c r="A264" s="427" t="s">
        <v>374</v>
      </c>
      <c r="B264" s="429">
        <v>4992</v>
      </c>
      <c r="C264" s="1650">
        <v>228121</v>
      </c>
      <c r="D264" s="1651"/>
      <c r="E264" s="1575"/>
      <c r="F264" s="1651"/>
      <c r="G264" s="1651"/>
      <c r="H264" s="1575"/>
      <c r="I264" s="1575"/>
      <c r="J264" s="1575"/>
      <c r="K264" s="1575"/>
    </row>
    <row r="265" spans="1:11" s="489" customFormat="1" ht="12.75" customHeight="1" thickTop="1" thickBot="1" x14ac:dyDescent="0.25">
      <c r="A265" s="479" t="s">
        <v>75</v>
      </c>
      <c r="B265" s="475">
        <v>4998</v>
      </c>
      <c r="C265" s="1650">
        <v>31561</v>
      </c>
      <c r="D265" s="1651"/>
      <c r="E265" s="1575"/>
      <c r="F265" s="1651"/>
      <c r="G265" s="1651"/>
      <c r="H265" s="1626"/>
      <c r="I265" s="1575"/>
      <c r="J265" s="1575"/>
      <c r="K265" s="1626"/>
    </row>
    <row r="266" spans="1:11" ht="14.25" thickTop="1" thickBot="1" x14ac:dyDescent="0.25">
      <c r="A266" s="1406" t="s">
        <v>1644</v>
      </c>
      <c r="B266" s="1419"/>
      <c r="C266" s="1641">
        <f t="shared" ref="C266:H266" si="10">SUM(C188,C198,C204,C209,C217,C221,C222,C252:C265)</f>
        <v>1640407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1640407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80700489</v>
      </c>
      <c r="D268" s="1641">
        <f t="shared" si="12"/>
        <v>18407347</v>
      </c>
      <c r="E268" s="1641">
        <f t="shared" si="12"/>
        <v>4569000</v>
      </c>
      <c r="F268" s="1641">
        <f t="shared" si="12"/>
        <v>6532434</v>
      </c>
      <c r="G268" s="1641">
        <f t="shared" si="12"/>
        <v>2961158</v>
      </c>
      <c r="H268" s="1641">
        <f t="shared" si="12"/>
        <v>0</v>
      </c>
      <c r="I268" s="1641">
        <f t="shared" si="12"/>
        <v>596768</v>
      </c>
      <c r="J268" s="1641">
        <f t="shared" si="12"/>
        <v>17681</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E3" sqref="E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2"/>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954</v>
      </c>
      <c r="B5" s="503">
        <v>1100</v>
      </c>
      <c r="C5" s="1573">
        <v>30888680</v>
      </c>
      <c r="D5" s="1573">
        <v>5182229</v>
      </c>
      <c r="E5" s="1573">
        <v>356613</v>
      </c>
      <c r="F5" s="1573">
        <v>822742</v>
      </c>
      <c r="G5" s="1573">
        <v>238763</v>
      </c>
      <c r="H5" s="1573">
        <v>18492</v>
      </c>
      <c r="I5" s="1574"/>
      <c r="J5" s="1574"/>
      <c r="K5" s="1672">
        <f>SUM(C5:J5)</f>
        <v>37507519</v>
      </c>
      <c r="L5" s="1573">
        <v>37835800</v>
      </c>
    </row>
    <row r="6" spans="1:14" x14ac:dyDescent="0.2">
      <c r="A6" s="1274" t="s">
        <v>1413</v>
      </c>
      <c r="B6" s="503" t="s">
        <v>1411</v>
      </c>
      <c r="C6" s="1582"/>
      <c r="D6" s="1582"/>
      <c r="E6" s="1573"/>
      <c r="F6" s="1582"/>
      <c r="G6" s="1582"/>
      <c r="H6" s="1582"/>
      <c r="I6" s="1582"/>
      <c r="J6" s="1582"/>
      <c r="K6" s="1672">
        <f>SUM(C6,E6)</f>
        <v>0</v>
      </c>
      <c r="L6" s="1573"/>
    </row>
    <row r="7" spans="1:14" x14ac:dyDescent="0.2">
      <c r="A7" s="1274" t="s">
        <v>162</v>
      </c>
      <c r="B7" s="503" t="s">
        <v>960</v>
      </c>
      <c r="C7" s="1574"/>
      <c r="D7" s="1574"/>
      <c r="E7" s="1574"/>
      <c r="F7" s="1574"/>
      <c r="G7" s="1574"/>
      <c r="H7" s="1574"/>
      <c r="I7" s="1574"/>
      <c r="J7" s="1574"/>
      <c r="K7" s="1672">
        <f t="shared" ref="K7:K32" si="0">SUM(C7:J7)</f>
        <v>0</v>
      </c>
      <c r="L7" s="1573"/>
    </row>
    <row r="8" spans="1:14" x14ac:dyDescent="0.2">
      <c r="A8" s="1274" t="s">
        <v>163</v>
      </c>
      <c r="B8" s="503">
        <v>1200</v>
      </c>
      <c r="C8" s="1573">
        <v>5753168</v>
      </c>
      <c r="D8" s="1573">
        <v>993868</v>
      </c>
      <c r="E8" s="1573">
        <v>13754</v>
      </c>
      <c r="F8" s="1573">
        <v>34504</v>
      </c>
      <c r="G8" s="1573">
        <v>5809</v>
      </c>
      <c r="H8" s="1573">
        <v>3358</v>
      </c>
      <c r="I8" s="1574"/>
      <c r="J8" s="1574"/>
      <c r="K8" s="1672">
        <f t="shared" si="0"/>
        <v>6804461</v>
      </c>
      <c r="L8" s="1573">
        <v>7074500</v>
      </c>
    </row>
    <row r="9" spans="1:14" x14ac:dyDescent="0.2">
      <c r="A9" s="1274" t="s">
        <v>715</v>
      </c>
      <c r="B9" s="503" t="s">
        <v>961</v>
      </c>
      <c r="C9" s="1574"/>
      <c r="D9" s="1574"/>
      <c r="E9" s="1574"/>
      <c r="F9" s="1574"/>
      <c r="G9" s="1574"/>
      <c r="H9" s="1574"/>
      <c r="I9" s="1574"/>
      <c r="J9" s="1574"/>
      <c r="K9" s="1672">
        <f t="shared" si="0"/>
        <v>0</v>
      </c>
      <c r="L9" s="1573"/>
    </row>
    <row r="10" spans="1:14" x14ac:dyDescent="0.2">
      <c r="A10" s="1274" t="s">
        <v>716</v>
      </c>
      <c r="B10" s="503">
        <v>1250</v>
      </c>
      <c r="C10" s="1573"/>
      <c r="D10" s="1573"/>
      <c r="E10" s="1573"/>
      <c r="F10" s="1573"/>
      <c r="G10" s="1573"/>
      <c r="H10" s="1573"/>
      <c r="I10" s="1574"/>
      <c r="J10" s="1574"/>
      <c r="K10" s="1672">
        <f t="shared" si="0"/>
        <v>0</v>
      </c>
      <c r="L10" s="1573"/>
    </row>
    <row r="11" spans="1:14" x14ac:dyDescent="0.2">
      <c r="A11" s="1274" t="s">
        <v>1119</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t="s">
        <v>1158</v>
      </c>
    </row>
    <row r="13" spans="1:14" x14ac:dyDescent="0.2">
      <c r="A13" s="1274" t="s">
        <v>717</v>
      </c>
      <c r="B13" s="503">
        <v>1400</v>
      </c>
      <c r="C13" s="1573">
        <v>775681</v>
      </c>
      <c r="D13" s="1573">
        <v>117191</v>
      </c>
      <c r="E13" s="1573"/>
      <c r="F13" s="1573">
        <v>93088</v>
      </c>
      <c r="G13" s="1573"/>
      <c r="H13" s="1573">
        <v>256953</v>
      </c>
      <c r="I13" s="1574"/>
      <c r="J13" s="1574"/>
      <c r="K13" s="1672">
        <f t="shared" si="0"/>
        <v>1242913</v>
      </c>
      <c r="L13" s="1573">
        <v>1265000</v>
      </c>
    </row>
    <row r="14" spans="1:14" x14ac:dyDescent="0.2">
      <c r="A14" s="1274" t="s">
        <v>956</v>
      </c>
      <c r="B14" s="503">
        <v>1500</v>
      </c>
      <c r="C14" s="1573">
        <v>4168767</v>
      </c>
      <c r="D14" s="1573">
        <v>297986</v>
      </c>
      <c r="E14" s="1573">
        <v>627648</v>
      </c>
      <c r="F14" s="1573">
        <v>118447</v>
      </c>
      <c r="G14" s="1573">
        <v>98017</v>
      </c>
      <c r="H14" s="1573">
        <v>5305</v>
      </c>
      <c r="I14" s="1574"/>
      <c r="J14" s="1574"/>
      <c r="K14" s="1672">
        <f t="shared" si="0"/>
        <v>5316170</v>
      </c>
      <c r="L14" s="1573">
        <v>5436300</v>
      </c>
    </row>
    <row r="15" spans="1:14" x14ac:dyDescent="0.2">
      <c r="A15" s="1274" t="s">
        <v>957</v>
      </c>
      <c r="B15" s="503">
        <v>1600</v>
      </c>
      <c r="C15" s="1573">
        <v>762720</v>
      </c>
      <c r="D15" s="1573"/>
      <c r="E15" s="1573">
        <v>10289</v>
      </c>
      <c r="F15" s="1573">
        <v>11705</v>
      </c>
      <c r="G15" s="1573"/>
      <c r="H15" s="1573"/>
      <c r="I15" s="1574"/>
      <c r="J15" s="1574"/>
      <c r="K15" s="1672">
        <f t="shared" si="0"/>
        <v>784714</v>
      </c>
      <c r="L15" s="1573">
        <v>697000</v>
      </c>
    </row>
    <row r="16" spans="1:14" x14ac:dyDescent="0.2">
      <c r="A16" s="1274" t="s">
        <v>979</v>
      </c>
      <c r="B16" s="503" t="s">
        <v>421</v>
      </c>
      <c r="C16" s="1573"/>
      <c r="D16" s="1573"/>
      <c r="E16" s="1573"/>
      <c r="F16" s="1573"/>
      <c r="G16" s="1573"/>
      <c r="H16" s="1573"/>
      <c r="I16" s="1574"/>
      <c r="J16" s="1574"/>
      <c r="K16" s="1672">
        <f t="shared" si="0"/>
        <v>0</v>
      </c>
      <c r="L16" s="1573">
        <v>6000</v>
      </c>
    </row>
    <row r="17" spans="1:12" x14ac:dyDescent="0.2">
      <c r="A17" s="1274" t="s">
        <v>718</v>
      </c>
      <c r="B17" s="503" t="s">
        <v>161</v>
      </c>
      <c r="C17" s="1574">
        <v>377714</v>
      </c>
      <c r="D17" s="1574">
        <v>53514</v>
      </c>
      <c r="E17" s="1574">
        <v>419</v>
      </c>
      <c r="F17" s="1574">
        <v>437</v>
      </c>
      <c r="G17" s="1574"/>
      <c r="H17" s="1574">
        <v>200</v>
      </c>
      <c r="I17" s="1574"/>
      <c r="J17" s="1574"/>
      <c r="K17" s="1672">
        <f t="shared" si="0"/>
        <v>432284</v>
      </c>
      <c r="L17" s="1573">
        <v>431800</v>
      </c>
    </row>
    <row r="18" spans="1:12" x14ac:dyDescent="0.2">
      <c r="A18" s="1274" t="s">
        <v>1077</v>
      </c>
      <c r="B18" s="503">
        <v>1800</v>
      </c>
      <c r="C18" s="1573">
        <v>423342</v>
      </c>
      <c r="D18" s="1573">
        <v>103129</v>
      </c>
      <c r="E18" s="1573">
        <v>12657</v>
      </c>
      <c r="F18" s="1573">
        <v>10658</v>
      </c>
      <c r="G18" s="1573"/>
      <c r="H18" s="1573"/>
      <c r="I18" s="1574"/>
      <c r="J18" s="1574"/>
      <c r="K18" s="1672">
        <f t="shared" si="0"/>
        <v>549786</v>
      </c>
      <c r="L18" s="1573">
        <v>471900</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c r="I21" s="1673"/>
      <c r="J21" s="1582"/>
      <c r="K21" s="1672">
        <f t="shared" si="0"/>
        <v>0</v>
      </c>
      <c r="L21" s="1577"/>
    </row>
    <row r="22" spans="1:12" x14ac:dyDescent="0.2">
      <c r="A22" s="1275" t="s">
        <v>734</v>
      </c>
      <c r="B22" s="494" t="s">
        <v>721</v>
      </c>
      <c r="C22" s="1582"/>
      <c r="D22" s="1582"/>
      <c r="E22" s="1582"/>
      <c r="F22" s="1582"/>
      <c r="G22" s="1582"/>
      <c r="H22" s="1579">
        <v>2121404</v>
      </c>
      <c r="I22" s="1673"/>
      <c r="J22" s="1582"/>
      <c r="K22" s="1672">
        <f t="shared" si="0"/>
        <v>2121404</v>
      </c>
      <c r="L22" s="1577">
        <v>3000000</v>
      </c>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618</v>
      </c>
      <c r="B26" s="494" t="s">
        <v>725</v>
      </c>
      <c r="C26" s="1582"/>
      <c r="D26" s="1582"/>
      <c r="E26" s="1582"/>
      <c r="F26" s="1582"/>
      <c r="G26" s="1582"/>
      <c r="H26" s="1579"/>
      <c r="I26" s="1673"/>
      <c r="J26" s="1582"/>
      <c r="K26" s="1672">
        <f t="shared" si="0"/>
        <v>0</v>
      </c>
      <c r="L26" s="1577"/>
    </row>
    <row r="27" spans="1:12" x14ac:dyDescent="0.2">
      <c r="A27" s="1275" t="s">
        <v>619</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1118</v>
      </c>
      <c r="B32" s="503" t="s">
        <v>731</v>
      </c>
      <c r="C32" s="1582"/>
      <c r="D32" s="1582"/>
      <c r="E32" s="1582"/>
      <c r="F32" s="1582"/>
      <c r="G32" s="1582"/>
      <c r="H32" s="1579"/>
      <c r="I32" s="1673"/>
      <c r="J32" s="1585"/>
      <c r="K32" s="1672">
        <f t="shared" si="0"/>
        <v>0</v>
      </c>
      <c r="L32" s="1577"/>
    </row>
    <row r="33" spans="1:14" ht="12.75" customHeight="1" thickBot="1" x14ac:dyDescent="0.25">
      <c r="A33" s="1380" t="s">
        <v>1646</v>
      </c>
      <c r="B33" s="1381" t="s">
        <v>566</v>
      </c>
      <c r="C33" s="1674">
        <f>SUM(C5:C32)</f>
        <v>43150072</v>
      </c>
      <c r="D33" s="1674">
        <f t="shared" ref="D33:L33" si="1">SUM(D5:D32)</f>
        <v>6747917</v>
      </c>
      <c r="E33" s="1674">
        <f t="shared" si="1"/>
        <v>1021380</v>
      </c>
      <c r="F33" s="1674">
        <f t="shared" si="1"/>
        <v>1091581</v>
      </c>
      <c r="G33" s="1674">
        <f t="shared" si="1"/>
        <v>342589</v>
      </c>
      <c r="H33" s="1674">
        <f t="shared" si="1"/>
        <v>2405712</v>
      </c>
      <c r="I33" s="1674">
        <f t="shared" si="1"/>
        <v>0</v>
      </c>
      <c r="J33" s="1674">
        <f t="shared" si="1"/>
        <v>0</v>
      </c>
      <c r="K33" s="1674">
        <f t="shared" si="1"/>
        <v>54759251</v>
      </c>
      <c r="L33" s="1674">
        <f t="shared" si="1"/>
        <v>56218300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1079</v>
      </c>
      <c r="B36" s="503">
        <v>2110</v>
      </c>
      <c r="C36" s="1586">
        <v>3030418</v>
      </c>
      <c r="D36" s="1586">
        <v>682669</v>
      </c>
      <c r="E36" s="1586">
        <v>36496</v>
      </c>
      <c r="F36" s="1586">
        <v>9899</v>
      </c>
      <c r="G36" s="1586">
        <v>25301</v>
      </c>
      <c r="H36" s="1586">
        <v>3739</v>
      </c>
      <c r="I36" s="1574"/>
      <c r="J36" s="1574"/>
      <c r="K36" s="1672">
        <f t="shared" ref="K36:K41" si="2">SUM(C36:J36)</f>
        <v>3788522</v>
      </c>
      <c r="L36" s="1573">
        <v>3760200</v>
      </c>
    </row>
    <row r="37" spans="1:14" x14ac:dyDescent="0.2">
      <c r="A37" s="1274" t="s">
        <v>1080</v>
      </c>
      <c r="B37" s="503">
        <v>2120</v>
      </c>
      <c r="C37" s="1573">
        <v>3373417</v>
      </c>
      <c r="D37" s="1573">
        <v>617964</v>
      </c>
      <c r="E37" s="1573">
        <v>84445</v>
      </c>
      <c r="F37" s="1573">
        <v>34348</v>
      </c>
      <c r="G37" s="1573"/>
      <c r="H37" s="1573">
        <v>3100</v>
      </c>
      <c r="I37" s="1574"/>
      <c r="J37" s="1574"/>
      <c r="K37" s="1672">
        <f t="shared" si="2"/>
        <v>4113274</v>
      </c>
      <c r="L37" s="1573">
        <v>4052000</v>
      </c>
    </row>
    <row r="38" spans="1:14" x14ac:dyDescent="0.2">
      <c r="A38" s="1274" t="s">
        <v>196</v>
      </c>
      <c r="B38" s="503">
        <v>2130</v>
      </c>
      <c r="C38" s="1573">
        <v>308319</v>
      </c>
      <c r="D38" s="1573">
        <v>36480</v>
      </c>
      <c r="E38" s="1573">
        <v>44280</v>
      </c>
      <c r="F38" s="1573">
        <v>11951</v>
      </c>
      <c r="G38" s="1573">
        <v>1779</v>
      </c>
      <c r="H38" s="1573">
        <v>644</v>
      </c>
      <c r="I38" s="1574"/>
      <c r="J38" s="1574"/>
      <c r="K38" s="1672">
        <f t="shared" si="2"/>
        <v>403453</v>
      </c>
      <c r="L38" s="1573">
        <v>341300</v>
      </c>
    </row>
    <row r="39" spans="1:14" x14ac:dyDescent="0.2">
      <c r="A39" s="1274" t="s">
        <v>197</v>
      </c>
      <c r="B39" s="503">
        <v>2140</v>
      </c>
      <c r="C39" s="1573">
        <v>117020</v>
      </c>
      <c r="D39" s="1573">
        <v>1435</v>
      </c>
      <c r="E39" s="1573">
        <v>11954</v>
      </c>
      <c r="F39" s="1573">
        <v>17340</v>
      </c>
      <c r="G39" s="1573"/>
      <c r="H39" s="1573">
        <v>22</v>
      </c>
      <c r="I39" s="1574"/>
      <c r="J39" s="1574"/>
      <c r="K39" s="1672">
        <f t="shared" si="2"/>
        <v>147771</v>
      </c>
      <c r="L39" s="1573">
        <v>141200</v>
      </c>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1647</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710</v>
      </c>
      <c r="C42" s="1674">
        <f>SUM(C36:C41)</f>
        <v>6829174</v>
      </c>
      <c r="D42" s="1674">
        <f t="shared" ref="D42:L42" si="3">SUM(D36:D41)</f>
        <v>1338548</v>
      </c>
      <c r="E42" s="1674">
        <f t="shared" si="3"/>
        <v>177175</v>
      </c>
      <c r="F42" s="1674">
        <f t="shared" si="3"/>
        <v>73538</v>
      </c>
      <c r="G42" s="1674">
        <f t="shared" si="3"/>
        <v>27080</v>
      </c>
      <c r="H42" s="1674">
        <f t="shared" si="3"/>
        <v>7505</v>
      </c>
      <c r="I42" s="1674">
        <f t="shared" si="3"/>
        <v>0</v>
      </c>
      <c r="J42" s="1674">
        <f t="shared" si="3"/>
        <v>0</v>
      </c>
      <c r="K42" s="1674">
        <f t="shared" si="3"/>
        <v>8453020</v>
      </c>
      <c r="L42" s="1674">
        <f t="shared" si="3"/>
        <v>8294700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808</v>
      </c>
      <c r="B44" s="503">
        <v>2210</v>
      </c>
      <c r="C44" s="1586">
        <v>94231</v>
      </c>
      <c r="D44" s="1586">
        <v>21003</v>
      </c>
      <c r="E44" s="1586">
        <v>339075</v>
      </c>
      <c r="F44" s="1586">
        <v>235004</v>
      </c>
      <c r="G44" s="1586"/>
      <c r="H44" s="1586">
        <v>215062</v>
      </c>
      <c r="I44" s="1574"/>
      <c r="J44" s="1574"/>
      <c r="K44" s="1678">
        <f>SUM(C44:J44)</f>
        <v>904375</v>
      </c>
      <c r="L44" s="1586">
        <v>773700</v>
      </c>
    </row>
    <row r="45" spans="1:14" x14ac:dyDescent="0.2">
      <c r="A45" s="1274" t="s">
        <v>809</v>
      </c>
      <c r="B45" s="503">
        <v>2220</v>
      </c>
      <c r="C45" s="1573">
        <v>626850</v>
      </c>
      <c r="D45" s="1573">
        <v>108851</v>
      </c>
      <c r="E45" s="1573">
        <v>14062</v>
      </c>
      <c r="F45" s="1573">
        <v>196833</v>
      </c>
      <c r="G45" s="1573">
        <v>151542</v>
      </c>
      <c r="H45" s="1573">
        <v>3401</v>
      </c>
      <c r="I45" s="1574"/>
      <c r="J45" s="1574"/>
      <c r="K45" s="1678">
        <f>SUM(C45:J45)</f>
        <v>1101539</v>
      </c>
      <c r="L45" s="1573">
        <v>1216700</v>
      </c>
    </row>
    <row r="46" spans="1:14" x14ac:dyDescent="0.2">
      <c r="A46" s="1274" t="s">
        <v>810</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721081</v>
      </c>
      <c r="D47" s="1674">
        <f t="shared" ref="D47:K47" si="4">SUM(D44:D46)</f>
        <v>129854</v>
      </c>
      <c r="E47" s="1674">
        <f t="shared" si="4"/>
        <v>353137</v>
      </c>
      <c r="F47" s="1674">
        <f t="shared" si="4"/>
        <v>431837</v>
      </c>
      <c r="G47" s="1674">
        <f t="shared" si="4"/>
        <v>151542</v>
      </c>
      <c r="H47" s="1674">
        <f t="shared" si="4"/>
        <v>218463</v>
      </c>
      <c r="I47" s="1674">
        <f t="shared" si="4"/>
        <v>0</v>
      </c>
      <c r="J47" s="1674">
        <f t="shared" si="4"/>
        <v>0</v>
      </c>
      <c r="K47" s="1674">
        <f t="shared" si="4"/>
        <v>2005914</v>
      </c>
      <c r="L47" s="1674">
        <f>SUM(L44:L46)</f>
        <v>1990400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811</v>
      </c>
      <c r="B49" s="503">
        <v>2310</v>
      </c>
      <c r="C49" s="1586">
        <v>4380</v>
      </c>
      <c r="D49" s="1586"/>
      <c r="E49" s="1586">
        <v>269405</v>
      </c>
      <c r="F49" s="1586">
        <v>10015</v>
      </c>
      <c r="G49" s="1586"/>
      <c r="H49" s="1586">
        <v>28411</v>
      </c>
      <c r="I49" s="1574"/>
      <c r="J49" s="1574"/>
      <c r="K49" s="1678">
        <f>SUM(C49:J49)</f>
        <v>312211</v>
      </c>
      <c r="L49" s="1586">
        <v>216000</v>
      </c>
    </row>
    <row r="50" spans="1:14" x14ac:dyDescent="0.2">
      <c r="A50" s="1274" t="s">
        <v>812</v>
      </c>
      <c r="B50" s="503">
        <v>2320</v>
      </c>
      <c r="C50" s="1573">
        <v>341522</v>
      </c>
      <c r="D50" s="1573">
        <v>62998</v>
      </c>
      <c r="E50" s="1573">
        <v>18376</v>
      </c>
      <c r="F50" s="1573">
        <v>13760</v>
      </c>
      <c r="G50" s="1573"/>
      <c r="H50" s="1573">
        <v>11445</v>
      </c>
      <c r="I50" s="1574"/>
      <c r="J50" s="1574"/>
      <c r="K50" s="1678">
        <f>SUM(C50:J50)</f>
        <v>448101</v>
      </c>
      <c r="L50" s="1573">
        <v>477000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711</v>
      </c>
      <c r="B53" s="1381" t="s">
        <v>33</v>
      </c>
      <c r="C53" s="1674">
        <f>SUM(C49:C52)</f>
        <v>345902</v>
      </c>
      <c r="D53" s="1674">
        <f t="shared" ref="D53:L53" si="5">SUM(D49:D52)</f>
        <v>62998</v>
      </c>
      <c r="E53" s="1674">
        <f t="shared" si="5"/>
        <v>287781</v>
      </c>
      <c r="F53" s="1674">
        <f t="shared" si="5"/>
        <v>23775</v>
      </c>
      <c r="G53" s="1674">
        <f t="shared" si="5"/>
        <v>0</v>
      </c>
      <c r="H53" s="1674">
        <f t="shared" si="5"/>
        <v>39856</v>
      </c>
      <c r="I53" s="1674">
        <f t="shared" si="5"/>
        <v>0</v>
      </c>
      <c r="J53" s="1674">
        <f t="shared" si="5"/>
        <v>0</v>
      </c>
      <c r="K53" s="1674">
        <f t="shared" si="5"/>
        <v>760312</v>
      </c>
      <c r="L53" s="1674">
        <f t="shared" si="5"/>
        <v>693000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1057</v>
      </c>
      <c r="B55" s="503">
        <v>2410</v>
      </c>
      <c r="C55" s="1586">
        <v>337593</v>
      </c>
      <c r="D55" s="1586">
        <v>70662</v>
      </c>
      <c r="E55" s="1586">
        <v>8017</v>
      </c>
      <c r="F55" s="1586">
        <v>61689</v>
      </c>
      <c r="G55" s="1586"/>
      <c r="H55" s="1586">
        <v>10531</v>
      </c>
      <c r="I55" s="1574"/>
      <c r="J55" s="1574"/>
      <c r="K55" s="1678">
        <f>SUM(C55:J55)</f>
        <v>488492</v>
      </c>
      <c r="L55" s="1586">
        <v>528600</v>
      </c>
    </row>
    <row r="56" spans="1:14" ht="12.75" customHeight="1" x14ac:dyDescent="0.2">
      <c r="A56" s="1278" t="s">
        <v>373</v>
      </c>
      <c r="B56" s="512">
        <v>2490</v>
      </c>
      <c r="C56" s="1573">
        <v>409452</v>
      </c>
      <c r="D56" s="1573">
        <v>94233</v>
      </c>
      <c r="E56" s="1573">
        <v>35245</v>
      </c>
      <c r="F56" s="1573">
        <v>8565</v>
      </c>
      <c r="G56" s="1573">
        <v>35332</v>
      </c>
      <c r="H56" s="1573">
        <v>399</v>
      </c>
      <c r="I56" s="1574"/>
      <c r="J56" s="1574"/>
      <c r="K56" s="1678">
        <f>SUM(C56:J56)</f>
        <v>583226</v>
      </c>
      <c r="L56" s="1573">
        <v>733600</v>
      </c>
    </row>
    <row r="57" spans="1:14" s="321" customFormat="1" ht="12.75" customHeight="1" thickBot="1" x14ac:dyDescent="0.25">
      <c r="A57" s="1380" t="s">
        <v>261</v>
      </c>
      <c r="B57" s="1382" t="s">
        <v>34</v>
      </c>
      <c r="C57" s="1679">
        <f>SUM(C55:C56)</f>
        <v>747045</v>
      </c>
      <c r="D57" s="1679">
        <f t="shared" ref="D57:K57" si="6">SUM(D55:D56)</f>
        <v>164895</v>
      </c>
      <c r="E57" s="1679">
        <f t="shared" si="6"/>
        <v>43262</v>
      </c>
      <c r="F57" s="1679">
        <f t="shared" si="6"/>
        <v>70254</v>
      </c>
      <c r="G57" s="1679">
        <f t="shared" si="6"/>
        <v>35332</v>
      </c>
      <c r="H57" s="1679">
        <f t="shared" si="6"/>
        <v>10930</v>
      </c>
      <c r="I57" s="1679">
        <f t="shared" si="6"/>
        <v>0</v>
      </c>
      <c r="J57" s="1679">
        <f t="shared" si="6"/>
        <v>0</v>
      </c>
      <c r="K57" s="1679">
        <f t="shared" si="6"/>
        <v>1071718</v>
      </c>
      <c r="L57" s="1674">
        <f>SUM(L55:L56)</f>
        <v>1262200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v>253195</v>
      </c>
      <c r="D59" s="1586">
        <v>56461</v>
      </c>
      <c r="E59" s="1586">
        <v>45623</v>
      </c>
      <c r="F59" s="1586">
        <v>2148</v>
      </c>
      <c r="G59" s="1586"/>
      <c r="H59" s="1586"/>
      <c r="I59" s="1574"/>
      <c r="J59" s="1574"/>
      <c r="K59" s="1678">
        <f t="shared" ref="K59:K64" si="7">SUM(C59:J59)</f>
        <v>357427</v>
      </c>
      <c r="L59" s="1586"/>
      <c r="M59" s="501"/>
      <c r="N59" s="501"/>
    </row>
    <row r="60" spans="1:14" s="321" customFormat="1" x14ac:dyDescent="0.2">
      <c r="A60" s="1274" t="s">
        <v>460</v>
      </c>
      <c r="B60" s="503">
        <v>2520</v>
      </c>
      <c r="C60" s="1573">
        <v>639177</v>
      </c>
      <c r="D60" s="1573">
        <v>103344</v>
      </c>
      <c r="E60" s="1573">
        <v>43397</v>
      </c>
      <c r="F60" s="1573">
        <v>64628</v>
      </c>
      <c r="G60" s="1573"/>
      <c r="H60" s="1573">
        <v>3409</v>
      </c>
      <c r="I60" s="1574"/>
      <c r="J60" s="1574"/>
      <c r="K60" s="1678">
        <f t="shared" si="7"/>
        <v>853955</v>
      </c>
      <c r="L60" s="1573">
        <v>1132400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946</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v>2569496</v>
      </c>
      <c r="F63" s="1573">
        <v>11098</v>
      </c>
      <c r="G63" s="1573">
        <v>24985</v>
      </c>
      <c r="H63" s="1573"/>
      <c r="I63" s="1574"/>
      <c r="J63" s="1574"/>
      <c r="K63" s="1678">
        <f t="shared" si="7"/>
        <v>2605579</v>
      </c>
      <c r="L63" s="1573">
        <v>145000</v>
      </c>
    </row>
    <row r="64" spans="1:14" s="501" customFormat="1" x14ac:dyDescent="0.2">
      <c r="A64" s="1279" t="s">
        <v>101</v>
      </c>
      <c r="B64" s="513">
        <v>2570</v>
      </c>
      <c r="C64" s="1586"/>
      <c r="D64" s="1586"/>
      <c r="E64" s="1586">
        <v>755715</v>
      </c>
      <c r="F64" s="1586">
        <v>170304</v>
      </c>
      <c r="G64" s="1586"/>
      <c r="H64" s="1586"/>
      <c r="I64" s="1574"/>
      <c r="J64" s="1574"/>
      <c r="K64" s="1678">
        <f t="shared" si="7"/>
        <v>926019</v>
      </c>
      <c r="L64" s="1586">
        <v>912000</v>
      </c>
    </row>
    <row r="65" spans="1:14" s="321" customFormat="1" ht="12.75" customHeight="1" thickBot="1" x14ac:dyDescent="0.25">
      <c r="A65" s="1380" t="s">
        <v>713</v>
      </c>
      <c r="B65" s="1381" t="s">
        <v>35</v>
      </c>
      <c r="C65" s="1674">
        <f>SUM(C59:C64)</f>
        <v>892372</v>
      </c>
      <c r="D65" s="1674">
        <f t="shared" ref="D65:L65" si="8">SUM(D59:D64)</f>
        <v>159805</v>
      </c>
      <c r="E65" s="1674">
        <f t="shared" si="8"/>
        <v>3414231</v>
      </c>
      <c r="F65" s="1674">
        <f t="shared" si="8"/>
        <v>248178</v>
      </c>
      <c r="G65" s="1674">
        <f t="shared" si="8"/>
        <v>24985</v>
      </c>
      <c r="H65" s="1674">
        <f t="shared" si="8"/>
        <v>3409</v>
      </c>
      <c r="I65" s="1674">
        <f t="shared" si="8"/>
        <v>0</v>
      </c>
      <c r="J65" s="1674">
        <f t="shared" si="8"/>
        <v>0</v>
      </c>
      <c r="K65" s="1674">
        <f t="shared" si="8"/>
        <v>4742980</v>
      </c>
      <c r="L65" s="1674">
        <f t="shared" si="8"/>
        <v>2189400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v>2604754</v>
      </c>
      <c r="D68" s="1573">
        <v>585320</v>
      </c>
      <c r="E68" s="1573">
        <v>265929</v>
      </c>
      <c r="F68" s="1573">
        <v>72681</v>
      </c>
      <c r="G68" s="1573"/>
      <c r="H68" s="1573">
        <v>3107</v>
      </c>
      <c r="I68" s="1574"/>
      <c r="J68" s="1574"/>
      <c r="K68" s="1678">
        <f>SUM(C68:J68)</f>
        <v>3531791</v>
      </c>
      <c r="L68" s="1573">
        <v>3497800</v>
      </c>
      <c r="M68" s="501"/>
      <c r="N68" s="501"/>
    </row>
    <row r="69" spans="1:14" s="321" customFormat="1" x14ac:dyDescent="0.2">
      <c r="A69" s="1274" t="s">
        <v>1051</v>
      </c>
      <c r="B69" s="503">
        <v>2630</v>
      </c>
      <c r="C69" s="1573">
        <v>1112649</v>
      </c>
      <c r="D69" s="1573">
        <v>146726</v>
      </c>
      <c r="E69" s="1573">
        <v>638096</v>
      </c>
      <c r="F69" s="1573">
        <v>1288815</v>
      </c>
      <c r="G69" s="1573">
        <v>1955787</v>
      </c>
      <c r="H69" s="1573">
        <v>77133</v>
      </c>
      <c r="I69" s="1574"/>
      <c r="J69" s="1574"/>
      <c r="K69" s="1678">
        <f>SUM(C69:J69)</f>
        <v>5219206</v>
      </c>
      <c r="L69" s="1573">
        <v>4152200</v>
      </c>
      <c r="M69" s="501"/>
      <c r="N69" s="501"/>
    </row>
    <row r="70" spans="1:14" s="321" customFormat="1" x14ac:dyDescent="0.2">
      <c r="A70" s="1274" t="s">
        <v>400</v>
      </c>
      <c r="B70" s="503">
        <v>2640</v>
      </c>
      <c r="C70" s="1573">
        <v>418971</v>
      </c>
      <c r="D70" s="1573">
        <v>83867</v>
      </c>
      <c r="E70" s="1573">
        <v>13219</v>
      </c>
      <c r="F70" s="1573">
        <v>58722</v>
      </c>
      <c r="G70" s="1573"/>
      <c r="H70" s="1573">
        <v>805</v>
      </c>
      <c r="I70" s="1574"/>
      <c r="J70" s="1574"/>
      <c r="K70" s="1678">
        <f>SUM(C70:J70)</f>
        <v>575584</v>
      </c>
      <c r="L70" s="1573">
        <v>600400</v>
      </c>
      <c r="M70" s="501"/>
      <c r="N70" s="501"/>
    </row>
    <row r="71" spans="1:14" s="321" customFormat="1" x14ac:dyDescent="0.2">
      <c r="A71" s="1274" t="s">
        <v>401</v>
      </c>
      <c r="B71" s="503">
        <v>2660</v>
      </c>
      <c r="C71" s="1573">
        <v>114942</v>
      </c>
      <c r="D71" s="1573">
        <v>55368</v>
      </c>
      <c r="E71" s="1573">
        <v>10566</v>
      </c>
      <c r="F71" s="1573">
        <v>6522</v>
      </c>
      <c r="G71" s="1573"/>
      <c r="H71" s="1573"/>
      <c r="I71" s="1574"/>
      <c r="J71" s="1574"/>
      <c r="K71" s="1678">
        <f>SUM(C71:J71)</f>
        <v>187398</v>
      </c>
      <c r="L71" s="1573">
        <v>250500</v>
      </c>
      <c r="M71" s="501"/>
      <c r="N71" s="501"/>
    </row>
    <row r="72" spans="1:14" s="321" customFormat="1" ht="12.75" customHeight="1" thickBot="1" x14ac:dyDescent="0.25">
      <c r="A72" s="1380" t="s">
        <v>37</v>
      </c>
      <c r="B72" s="1383" t="s">
        <v>36</v>
      </c>
      <c r="C72" s="1674">
        <f>SUM(C67:C71)</f>
        <v>4251316</v>
      </c>
      <c r="D72" s="1674">
        <f t="shared" ref="D72:K72" si="9">SUM(D67:D71)</f>
        <v>871281</v>
      </c>
      <c r="E72" s="1674">
        <f t="shared" si="9"/>
        <v>927810</v>
      </c>
      <c r="F72" s="1674">
        <f t="shared" si="9"/>
        <v>1426740</v>
      </c>
      <c r="G72" s="1674">
        <f t="shared" si="9"/>
        <v>1955787</v>
      </c>
      <c r="H72" s="1674">
        <f t="shared" si="9"/>
        <v>81045</v>
      </c>
      <c r="I72" s="1674">
        <f t="shared" si="9"/>
        <v>0</v>
      </c>
      <c r="J72" s="1674">
        <f t="shared" si="9"/>
        <v>0</v>
      </c>
      <c r="K72" s="1674">
        <f t="shared" si="9"/>
        <v>9513979</v>
      </c>
      <c r="L72" s="1674">
        <f>SUM(L67:L71)</f>
        <v>8500900</v>
      </c>
      <c r="M72" s="501"/>
      <c r="N72" s="501"/>
    </row>
    <row r="73" spans="1:14" s="321" customFormat="1" ht="14.25" thickTop="1" thickBot="1" x14ac:dyDescent="0.25">
      <c r="A73" s="1280" t="s">
        <v>972</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805</v>
      </c>
      <c r="B74" s="1384">
        <v>2000</v>
      </c>
      <c r="C74" s="1681">
        <f>SUM(C42,C47,C53,C57,C65,C72,C73)</f>
        <v>13786890</v>
      </c>
      <c r="D74" s="1681">
        <f t="shared" ref="D74:K74" si="10">SUM(D42,D47,D53,D57,D65,D72,D73)</f>
        <v>2727381</v>
      </c>
      <c r="E74" s="1681">
        <f t="shared" si="10"/>
        <v>5203396</v>
      </c>
      <c r="F74" s="1681">
        <f t="shared" si="10"/>
        <v>2274322</v>
      </c>
      <c r="G74" s="1681">
        <f t="shared" si="10"/>
        <v>2194726</v>
      </c>
      <c r="H74" s="1681">
        <f t="shared" si="10"/>
        <v>361208</v>
      </c>
      <c r="I74" s="1681">
        <f t="shared" si="10"/>
        <v>0</v>
      </c>
      <c r="J74" s="1681">
        <f t="shared" si="10"/>
        <v>0</v>
      </c>
      <c r="K74" s="1681">
        <f t="shared" si="10"/>
        <v>26547923</v>
      </c>
      <c r="L74" s="1681">
        <f>SUM(L42,L47,L53,L57,L65,L72,L73)</f>
        <v>22930600</v>
      </c>
    </row>
    <row r="75" spans="1:14" s="254" customFormat="1" ht="15.75" customHeight="1" thickTop="1" thickBot="1" x14ac:dyDescent="0.25">
      <c r="A75" s="1348" t="s">
        <v>47</v>
      </c>
      <c r="B75" s="1349" t="s">
        <v>571</v>
      </c>
      <c r="C75" s="1649">
        <v>2347463</v>
      </c>
      <c r="D75" s="1649">
        <v>251329</v>
      </c>
      <c r="E75" s="1649">
        <v>68226</v>
      </c>
      <c r="F75" s="1649">
        <v>8792</v>
      </c>
      <c r="G75" s="1649">
        <v>83516</v>
      </c>
      <c r="H75" s="1649"/>
      <c r="I75" s="1627"/>
      <c r="J75" s="1627"/>
      <c r="K75" s="1674">
        <f>SUM(C75:J75)</f>
        <v>2759326</v>
      </c>
      <c r="L75" s="1651">
        <v>2753700</v>
      </c>
      <c r="M75" s="502"/>
      <c r="N75" s="502"/>
    </row>
    <row r="76" spans="1:14" s="516" customFormat="1" ht="15.75" customHeight="1" thickTop="1" x14ac:dyDescent="0.2">
      <c r="A76" s="1350" t="s">
        <v>362</v>
      </c>
      <c r="B76" s="1347" t="s">
        <v>854</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6172918</v>
      </c>
      <c r="F79" s="1673"/>
      <c r="G79" s="1673"/>
      <c r="H79" s="1573">
        <v>738022</v>
      </c>
      <c r="I79" s="1582"/>
      <c r="J79" s="1582"/>
      <c r="K79" s="1672">
        <f t="shared" si="11"/>
        <v>6910940</v>
      </c>
      <c r="L79" s="1573">
        <v>7302300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c r="F83" s="1673"/>
      <c r="G83" s="1673"/>
      <c r="H83" s="1573"/>
      <c r="I83" s="1582"/>
      <c r="J83" s="1582"/>
      <c r="K83" s="1672">
        <f t="shared" si="11"/>
        <v>0</v>
      </c>
      <c r="L83" s="1573"/>
    </row>
    <row r="84" spans="1:12" ht="13.5" thickBot="1" x14ac:dyDescent="0.25">
      <c r="A84" s="1380" t="s">
        <v>1465</v>
      </c>
      <c r="B84" s="1385">
        <v>4100</v>
      </c>
      <c r="C84" s="1673"/>
      <c r="D84" s="1673"/>
      <c r="E84" s="1674">
        <f>SUM(E78:E83)</f>
        <v>6172918</v>
      </c>
      <c r="F84" s="1673"/>
      <c r="G84" s="1673"/>
      <c r="H84" s="1674">
        <f>SUM(H78:H83)</f>
        <v>738022</v>
      </c>
      <c r="I84" s="1582"/>
      <c r="J84" s="1582"/>
      <c r="K84" s="1674">
        <f>SUM(K78:K83)</f>
        <v>6910940</v>
      </c>
      <c r="L84" s="1674">
        <f>SUM(L78:L83)</f>
        <v>7302300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693</v>
      </c>
      <c r="B86" s="518">
        <v>4220</v>
      </c>
      <c r="C86" s="1673"/>
      <c r="D86" s="1673"/>
      <c r="E86" s="1684"/>
      <c r="F86" s="1673"/>
      <c r="G86" s="1673"/>
      <c r="H86" s="1574"/>
      <c r="I86" s="1582"/>
      <c r="J86" s="1582"/>
      <c r="K86" s="1681">
        <f t="shared" ref="K86:K98" si="12">H86</f>
        <v>0</v>
      </c>
      <c r="L86" s="1626"/>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c r="I88" s="1582"/>
      <c r="J88" s="1582"/>
      <c r="K88" s="1681">
        <f t="shared" si="12"/>
        <v>0</v>
      </c>
      <c r="L88" s="1626"/>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1540</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1468</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1466</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1469</v>
      </c>
      <c r="B101" s="521" t="s">
        <v>924</v>
      </c>
      <c r="C101" s="1673"/>
      <c r="D101" s="1673"/>
      <c r="E101" s="1627"/>
      <c r="F101" s="1673"/>
      <c r="G101" s="1673"/>
      <c r="H101" s="1627"/>
      <c r="I101" s="1582"/>
      <c r="J101" s="1582"/>
      <c r="K101" s="1687">
        <f>SUM(C101:J101)</f>
        <v>0</v>
      </c>
      <c r="L101" s="1626">
        <v>60000</v>
      </c>
    </row>
    <row r="102" spans="1:14" ht="12.75" customHeight="1" thickTop="1" thickBot="1" x14ac:dyDescent="0.25">
      <c r="A102" s="1380" t="s">
        <v>1467</v>
      </c>
      <c r="B102" s="1385">
        <v>4000</v>
      </c>
      <c r="C102" s="1673"/>
      <c r="D102" s="1673"/>
      <c r="E102" s="1681">
        <f>SUM(E84,E92,E100,E101)</f>
        <v>6172918</v>
      </c>
      <c r="F102" s="1673"/>
      <c r="G102" s="1673"/>
      <c r="H102" s="1681">
        <f>SUM(H84,H92,H100,H101)</f>
        <v>738022</v>
      </c>
      <c r="I102" s="1582"/>
      <c r="J102" s="1582"/>
      <c r="K102" s="1681">
        <f>SUM(K84,K92,K100,K101)</f>
        <v>6910940</v>
      </c>
      <c r="L102" s="1681">
        <f>SUM(L84,L92,L100,L101)</f>
        <v>7362300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1159</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855</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59284425</v>
      </c>
      <c r="D114" s="1674">
        <f t="shared" ref="D114:K114" si="13">SUM(D33,D74,D75,D102,D112,D113)</f>
        <v>9726627</v>
      </c>
      <c r="E114" s="1674">
        <f t="shared" si="13"/>
        <v>12465920</v>
      </c>
      <c r="F114" s="1674">
        <f t="shared" si="13"/>
        <v>3374695</v>
      </c>
      <c r="G114" s="1674">
        <f t="shared" si="13"/>
        <v>2620831</v>
      </c>
      <c r="H114" s="1674">
        <f>SUM(H33,H74,H75,H102,H112,H113)</f>
        <v>3504942</v>
      </c>
      <c r="I114" s="1674">
        <f t="shared" si="13"/>
        <v>0</v>
      </c>
      <c r="J114" s="1674">
        <f t="shared" si="13"/>
        <v>0</v>
      </c>
      <c r="K114" s="1674">
        <f t="shared" si="13"/>
        <v>90977440</v>
      </c>
      <c r="L114" s="1674">
        <f>SUM(L33,L74,L75,L102,L112,L113)</f>
        <v>89264900</v>
      </c>
    </row>
    <row r="115" spans="1:14" ht="13.5" thickTop="1" x14ac:dyDescent="0.2">
      <c r="A115" s="2287" t="s">
        <v>988</v>
      </c>
      <c r="B115" s="2288"/>
      <c r="C115" s="1675"/>
      <c r="D115" s="1675"/>
      <c r="E115" s="1675"/>
      <c r="F115" s="1675"/>
      <c r="G115" s="1675"/>
      <c r="H115" s="1675"/>
      <c r="I115" s="1675"/>
      <c r="J115" s="1675"/>
      <c r="K115" s="1689">
        <f>'Revenues 9-14'!C268-'Expenditures 15-22'!K114</f>
        <v>-10276951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1027</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1957</v>
      </c>
      <c r="B120" s="512" t="s">
        <v>710</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1058</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v>21630176</v>
      </c>
      <c r="H123" s="1573"/>
      <c r="I123" s="1574"/>
      <c r="J123" s="1574"/>
      <c r="K123" s="1674">
        <f>SUM(C123:J123)</f>
        <v>21630176</v>
      </c>
      <c r="L123" s="1573">
        <v>20500000</v>
      </c>
    </row>
    <row r="124" spans="1:14" ht="14.25" thickTop="1" thickBot="1" x14ac:dyDescent="0.25">
      <c r="A124" s="1274" t="s">
        <v>195</v>
      </c>
      <c r="B124" s="503">
        <v>2540</v>
      </c>
      <c r="C124" s="1573">
        <v>1233</v>
      </c>
      <c r="D124" s="1573"/>
      <c r="E124" s="1573">
        <v>7125095</v>
      </c>
      <c r="F124" s="1573">
        <v>1472311</v>
      </c>
      <c r="G124" s="1573"/>
      <c r="H124" s="1573">
        <v>31618</v>
      </c>
      <c r="I124" s="1574"/>
      <c r="J124" s="1574"/>
      <c r="K124" s="1674">
        <f>SUM(C124:J124)</f>
        <v>8630257</v>
      </c>
      <c r="L124" s="1573">
        <v>8911700</v>
      </c>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1233</v>
      </c>
      <c r="D127" s="1674">
        <f t="shared" ref="D127:L127" si="14">SUM(D122:D126)</f>
        <v>0</v>
      </c>
      <c r="E127" s="1674">
        <f t="shared" si="14"/>
        <v>7125095</v>
      </c>
      <c r="F127" s="1674">
        <f t="shared" si="14"/>
        <v>1472311</v>
      </c>
      <c r="G127" s="1674">
        <f t="shared" si="14"/>
        <v>21630176</v>
      </c>
      <c r="H127" s="1674">
        <f t="shared" si="14"/>
        <v>31618</v>
      </c>
      <c r="I127" s="1674">
        <f t="shared" si="14"/>
        <v>0</v>
      </c>
      <c r="J127" s="1674">
        <f t="shared" si="14"/>
        <v>0</v>
      </c>
      <c r="K127" s="1674">
        <f t="shared" si="14"/>
        <v>30260433</v>
      </c>
      <c r="L127" s="1674">
        <f t="shared" si="14"/>
        <v>29411700</v>
      </c>
    </row>
    <row r="128" spans="1:14" ht="12.75" customHeight="1" thickTop="1" x14ac:dyDescent="0.2">
      <c r="A128" s="1281" t="s">
        <v>972</v>
      </c>
      <c r="B128" s="531" t="s">
        <v>570</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565</v>
      </c>
      <c r="C129" s="1681">
        <f>SUM(C120,C127,C128)</f>
        <v>1233</v>
      </c>
      <c r="D129" s="1681">
        <f t="shared" ref="D129:L129" si="15">SUM(D120,D127,D128)</f>
        <v>0</v>
      </c>
      <c r="E129" s="1681">
        <f t="shared" si="15"/>
        <v>7125095</v>
      </c>
      <c r="F129" s="1681">
        <f t="shared" si="15"/>
        <v>1472311</v>
      </c>
      <c r="G129" s="1681">
        <f t="shared" si="15"/>
        <v>21630176</v>
      </c>
      <c r="H129" s="1681">
        <f t="shared" si="15"/>
        <v>31618</v>
      </c>
      <c r="I129" s="1681">
        <f t="shared" si="15"/>
        <v>0</v>
      </c>
      <c r="J129" s="1681">
        <f t="shared" si="15"/>
        <v>0</v>
      </c>
      <c r="K129" s="1681">
        <f t="shared" si="15"/>
        <v>30260433</v>
      </c>
      <c r="L129" s="1681">
        <f t="shared" si="15"/>
        <v>29411700</v>
      </c>
    </row>
    <row r="130" spans="1:14" ht="15.75" customHeight="1" thickTop="1" thickBot="1" x14ac:dyDescent="0.25">
      <c r="A130" s="1348" t="s">
        <v>1028</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854</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1810</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c r="I135" s="1582"/>
      <c r="J135" s="1673"/>
      <c r="K135" s="1678">
        <f>SUM(E135,H135)</f>
        <v>0</v>
      </c>
      <c r="L135" s="1573"/>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1467</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1159</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1233</v>
      </c>
      <c r="D151" s="1674">
        <f t="shared" ref="D151:K151" si="16">SUM(D129,D130,D139,D149,D150)</f>
        <v>0</v>
      </c>
      <c r="E151" s="1674">
        <f t="shared" si="16"/>
        <v>7125095</v>
      </c>
      <c r="F151" s="1674">
        <f t="shared" si="16"/>
        <v>1472311</v>
      </c>
      <c r="G151" s="1674">
        <f t="shared" si="16"/>
        <v>21630176</v>
      </c>
      <c r="H151" s="1674">
        <f t="shared" si="16"/>
        <v>31618</v>
      </c>
      <c r="I151" s="1674">
        <f t="shared" si="16"/>
        <v>0</v>
      </c>
      <c r="J151" s="1674">
        <f t="shared" si="16"/>
        <v>0</v>
      </c>
      <c r="K151" s="1674">
        <f t="shared" si="16"/>
        <v>30260433</v>
      </c>
      <c r="L151" s="1674">
        <f>SUM(L129,L130,L139,L149,L150)</f>
        <v>29411700</v>
      </c>
    </row>
    <row r="152" spans="1:14" ht="12.75" customHeight="1" thickTop="1" x14ac:dyDescent="0.2">
      <c r="A152" s="2280" t="s">
        <v>1167</v>
      </c>
      <c r="B152" s="2281"/>
      <c r="C152" s="1675"/>
      <c r="D152" s="1675"/>
      <c r="E152" s="1675"/>
      <c r="F152" s="1675"/>
      <c r="G152" s="1675"/>
      <c r="H152" s="1675"/>
      <c r="I152" s="1675"/>
      <c r="J152" s="1673"/>
      <c r="K152" s="1689">
        <f>'Revenues 9-14'!D268-'Expenditures 15-22'!K151</f>
        <v>-11853086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1811</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1810</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1812</v>
      </c>
      <c r="C158" s="1673"/>
      <c r="D158" s="1673"/>
      <c r="E158" s="1673"/>
      <c r="F158" s="1673"/>
      <c r="G158" s="1673"/>
      <c r="H158" s="1574"/>
      <c r="I158" s="1673"/>
      <c r="J158" s="1673"/>
      <c r="K158" s="1672">
        <f>H158</f>
        <v>0</v>
      </c>
      <c r="L158" s="1574"/>
      <c r="M158" s="505"/>
      <c r="N158" s="505"/>
    </row>
    <row r="159" spans="1:14" s="506" customFormat="1" ht="12" x14ac:dyDescent="0.2">
      <c r="A159" s="1462" t="s">
        <v>1813</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1814</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1159</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1117936</v>
      </c>
      <c r="I169" s="1673"/>
      <c r="J169" s="1673"/>
      <c r="K169" s="1672">
        <f>SUM(C169:H169)</f>
        <v>1117936</v>
      </c>
      <c r="L169" s="1695">
        <v>1268000</v>
      </c>
    </row>
    <row r="170" spans="1:14" ht="33.75" customHeight="1" x14ac:dyDescent="0.2">
      <c r="A170" s="543" t="s">
        <v>1648</v>
      </c>
      <c r="B170" s="545" t="s">
        <v>31</v>
      </c>
      <c r="C170" s="1673"/>
      <c r="D170" s="1673"/>
      <c r="E170" s="1673"/>
      <c r="F170" s="1673"/>
      <c r="G170" s="1673"/>
      <c r="H170" s="1646">
        <v>3785549</v>
      </c>
      <c r="I170" s="1673"/>
      <c r="J170" s="1673"/>
      <c r="K170" s="1672">
        <f>SUM(C170:J170)</f>
        <v>3785549</v>
      </c>
      <c r="L170" s="1646">
        <v>3680000</v>
      </c>
    </row>
    <row r="171" spans="1:14" ht="15.75" customHeight="1" x14ac:dyDescent="0.2">
      <c r="A171" s="507" t="s">
        <v>760</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4903485</v>
      </c>
      <c r="I172" s="1684"/>
      <c r="J172" s="1673"/>
      <c r="K172" s="1681">
        <f>SUM(K168,K169,K170,K171)</f>
        <v>4903485</v>
      </c>
      <c r="L172" s="1681">
        <f>SUM(L168,L169,L170,L171)</f>
        <v>4948000</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4903485</v>
      </c>
      <c r="I174" s="1684"/>
      <c r="J174" s="1673"/>
      <c r="K174" s="1681">
        <f>SUM(K160,K172,K173)</f>
        <v>4903485</v>
      </c>
      <c r="L174" s="1681">
        <f>SUM(L160,L172,L173)</f>
        <v>4948000</v>
      </c>
    </row>
    <row r="175" spans="1:14" ht="13.5" thickTop="1" x14ac:dyDescent="0.2">
      <c r="A175" s="2287" t="s">
        <v>988</v>
      </c>
      <c r="B175" s="2288"/>
      <c r="C175" s="1673"/>
      <c r="D175" s="1673"/>
      <c r="E175" s="1673"/>
      <c r="F175" s="1673"/>
      <c r="G175" s="1673"/>
      <c r="H175" s="1675"/>
      <c r="I175" s="1673"/>
      <c r="J175" s="1673"/>
      <c r="K175" s="1689">
        <f>'Revenues 9-14'!E268-'Expenditures 15-22'!K174</f>
        <v>-334485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1957</v>
      </c>
      <c r="B180" s="503" t="s">
        <v>710</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946</v>
      </c>
      <c r="B182" s="503">
        <v>2550</v>
      </c>
      <c r="C182" s="1573">
        <v>195355</v>
      </c>
      <c r="D182" s="1573">
        <v>31891</v>
      </c>
      <c r="E182" s="1573">
        <v>4608269</v>
      </c>
      <c r="F182" s="1573">
        <v>119285</v>
      </c>
      <c r="G182" s="1573">
        <v>68878</v>
      </c>
      <c r="H182" s="1573"/>
      <c r="I182" s="1574"/>
      <c r="J182" s="1574"/>
      <c r="K182" s="1672">
        <f>SUM(C182:J182)</f>
        <v>5023678</v>
      </c>
      <c r="L182" s="1573">
        <v>5713200</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565</v>
      </c>
      <c r="C184" s="1681">
        <f>SUM(C180,C182,C183)</f>
        <v>195355</v>
      </c>
      <c r="D184" s="1681">
        <f t="shared" ref="D184:J184" si="17">SUM(D180,D182,D183)</f>
        <v>31891</v>
      </c>
      <c r="E184" s="1681">
        <f t="shared" si="17"/>
        <v>4608269</v>
      </c>
      <c r="F184" s="1681">
        <f t="shared" si="17"/>
        <v>119285</v>
      </c>
      <c r="G184" s="1681">
        <f t="shared" si="17"/>
        <v>68878</v>
      </c>
      <c r="H184" s="1681">
        <f t="shared" si="17"/>
        <v>0</v>
      </c>
      <c r="I184" s="1681">
        <f t="shared" si="17"/>
        <v>0</v>
      </c>
      <c r="J184" s="1681">
        <f t="shared" si="17"/>
        <v>0</v>
      </c>
      <c r="K184" s="1681">
        <f>SUM(K180,K182,K183)</f>
        <v>5023678</v>
      </c>
      <c r="L184" s="1681">
        <f>SUM(L180, L182:L183)</f>
        <v>5713200</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1129</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1467</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1159</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1649</v>
      </c>
      <c r="B206" s="546" t="s">
        <v>31</v>
      </c>
      <c r="C206" s="1673"/>
      <c r="D206" s="1673"/>
      <c r="E206" s="1673"/>
      <c r="F206" s="1673"/>
      <c r="G206" s="1673"/>
      <c r="H206" s="1573"/>
      <c r="I206" s="1673"/>
      <c r="J206" s="1673"/>
      <c r="K206" s="1672">
        <f>SUM(H206)</f>
        <v>0</v>
      </c>
      <c r="L206" s="1573"/>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195355</v>
      </c>
      <c r="D210" s="1674">
        <f>SUM(D184,D185)</f>
        <v>31891</v>
      </c>
      <c r="E210" s="1674">
        <f>SUM(E184,E185,E196)</f>
        <v>4608269</v>
      </c>
      <c r="F210" s="1674">
        <f>SUM(F184,F185)</f>
        <v>119285</v>
      </c>
      <c r="G210" s="1674">
        <f>SUM(G184,G185)</f>
        <v>68878</v>
      </c>
      <c r="H210" s="1674">
        <f>SUM(H184,H185,H196,H208,H209)</f>
        <v>0</v>
      </c>
      <c r="I210" s="1674">
        <f>SUM(I184,I185)</f>
        <v>0</v>
      </c>
      <c r="J210" s="1674">
        <f>SUM(J184,J185)</f>
        <v>0</v>
      </c>
      <c r="K210" s="1672">
        <f>SUM(K184,K185,K196,K208,K209)</f>
        <v>5023678</v>
      </c>
      <c r="L210" s="1674">
        <f>SUM(L184,L185,L196,L208,L209)</f>
        <v>5713200</v>
      </c>
    </row>
    <row r="211" spans="1:14" ht="13.5" thickTop="1" x14ac:dyDescent="0.2">
      <c r="A211" s="2287" t="s">
        <v>988</v>
      </c>
      <c r="B211" s="2288"/>
      <c r="C211" s="1675"/>
      <c r="D211" s="1675"/>
      <c r="E211" s="1675"/>
      <c r="F211" s="1675"/>
      <c r="G211" s="1675"/>
      <c r="H211" s="1675"/>
      <c r="I211" s="1673"/>
      <c r="J211" s="1673"/>
      <c r="K211" s="1689">
        <f>'Revenues 9-14'!F268-'Expenditures 15-22'!K210</f>
        <v>1508756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958</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566</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680922</v>
      </c>
      <c r="E215" s="1673"/>
      <c r="F215" s="1673"/>
      <c r="G215" s="1673"/>
      <c r="H215" s="1673"/>
      <c r="I215" s="1673"/>
      <c r="J215" s="1673"/>
      <c r="K215" s="1672">
        <f>D215</f>
        <v>680922</v>
      </c>
      <c r="L215" s="1573">
        <v>675000</v>
      </c>
    </row>
    <row r="216" spans="1:14" x14ac:dyDescent="0.2">
      <c r="A216" s="1274" t="s">
        <v>162</v>
      </c>
      <c r="B216" s="503" t="s">
        <v>960</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298065</v>
      </c>
      <c r="E217" s="1673"/>
      <c r="F217" s="1673"/>
      <c r="G217" s="1673"/>
      <c r="H217" s="1673"/>
      <c r="I217" s="1673"/>
      <c r="J217" s="1673"/>
      <c r="K217" s="1672">
        <f t="shared" si="19"/>
        <v>298065</v>
      </c>
      <c r="L217" s="1573">
        <v>345000</v>
      </c>
    </row>
    <row r="218" spans="1:14" x14ac:dyDescent="0.2">
      <c r="A218" s="1274" t="s">
        <v>276</v>
      </c>
      <c r="B218" s="503" t="s">
        <v>961</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v>11240</v>
      </c>
      <c r="E222" s="1673"/>
      <c r="F222" s="1673"/>
      <c r="G222" s="1673"/>
      <c r="H222" s="1673"/>
      <c r="I222" s="1673"/>
      <c r="J222" s="1673"/>
      <c r="K222" s="1672">
        <f t="shared" si="19"/>
        <v>11240</v>
      </c>
      <c r="L222" s="1573">
        <v>10500</v>
      </c>
    </row>
    <row r="223" spans="1:14" x14ac:dyDescent="0.2">
      <c r="A223" s="1274" t="s">
        <v>956</v>
      </c>
      <c r="B223" s="503">
        <v>1500</v>
      </c>
      <c r="C223" s="1673"/>
      <c r="D223" s="1573">
        <v>271323</v>
      </c>
      <c r="E223" s="1673"/>
      <c r="F223" s="1673"/>
      <c r="G223" s="1673"/>
      <c r="H223" s="1673"/>
      <c r="I223" s="1673"/>
      <c r="J223" s="1673"/>
      <c r="K223" s="1672">
        <f t="shared" si="19"/>
        <v>271323</v>
      </c>
      <c r="L223" s="1573">
        <v>205000</v>
      </c>
    </row>
    <row r="224" spans="1:14" x14ac:dyDescent="0.2">
      <c r="A224" s="1274" t="s">
        <v>957</v>
      </c>
      <c r="B224" s="503">
        <v>1600</v>
      </c>
      <c r="C224" s="1673"/>
      <c r="D224" s="1573">
        <v>20280</v>
      </c>
      <c r="E224" s="1673"/>
      <c r="F224" s="1673"/>
      <c r="G224" s="1673"/>
      <c r="H224" s="1673"/>
      <c r="I224" s="1673"/>
      <c r="J224" s="1673"/>
      <c r="K224" s="1672">
        <f t="shared" si="19"/>
        <v>20280</v>
      </c>
      <c r="L224" s="1573">
        <v>31000</v>
      </c>
    </row>
    <row r="225" spans="1:12" x14ac:dyDescent="0.2">
      <c r="A225" s="1274" t="s">
        <v>979</v>
      </c>
      <c r="B225" s="503">
        <v>1650</v>
      </c>
      <c r="C225" s="1673"/>
      <c r="D225" s="1573"/>
      <c r="E225" s="1673"/>
      <c r="F225" s="1673"/>
      <c r="G225" s="1673"/>
      <c r="H225" s="1673"/>
      <c r="I225" s="1673"/>
      <c r="J225" s="1673"/>
      <c r="K225" s="1672">
        <f t="shared" si="19"/>
        <v>0</v>
      </c>
      <c r="L225" s="1573"/>
    </row>
    <row r="226" spans="1:12" x14ac:dyDescent="0.2">
      <c r="A226" s="1274" t="s">
        <v>718</v>
      </c>
      <c r="B226" s="503" t="s">
        <v>161</v>
      </c>
      <c r="C226" s="1673"/>
      <c r="D226" s="1574">
        <v>5583</v>
      </c>
      <c r="E226" s="1673"/>
      <c r="F226" s="1673"/>
      <c r="G226" s="1673"/>
      <c r="H226" s="1673"/>
      <c r="I226" s="1673"/>
      <c r="J226" s="1673"/>
      <c r="K226" s="1672">
        <f t="shared" si="19"/>
        <v>5583</v>
      </c>
      <c r="L226" s="1573">
        <v>5500</v>
      </c>
    </row>
    <row r="227" spans="1:12" x14ac:dyDescent="0.2">
      <c r="A227" s="1274" t="s">
        <v>1077</v>
      </c>
      <c r="B227" s="503">
        <v>1800</v>
      </c>
      <c r="C227" s="1673"/>
      <c r="D227" s="1573">
        <v>20574</v>
      </c>
      <c r="E227" s="1673"/>
      <c r="F227" s="1673"/>
      <c r="G227" s="1673"/>
      <c r="H227" s="1673"/>
      <c r="I227" s="1673"/>
      <c r="J227" s="1673"/>
      <c r="K227" s="1672">
        <f t="shared" si="19"/>
        <v>20574</v>
      </c>
      <c r="L227" s="1573">
        <v>16500</v>
      </c>
    </row>
    <row r="228" spans="1:12" x14ac:dyDescent="0.2">
      <c r="A228" s="1274" t="s">
        <v>1078</v>
      </c>
      <c r="B228" s="503">
        <v>1900</v>
      </c>
      <c r="C228" s="1673"/>
      <c r="D228" s="1573"/>
      <c r="E228" s="1673"/>
      <c r="F228" s="1673"/>
      <c r="G228" s="1673"/>
      <c r="H228" s="1673"/>
      <c r="I228" s="1673"/>
      <c r="J228" s="1673"/>
      <c r="K228" s="1672">
        <f t="shared" si="19"/>
        <v>0</v>
      </c>
      <c r="L228" s="1573"/>
    </row>
    <row r="229" spans="1:12" ht="12.75" customHeight="1" thickBot="1" x14ac:dyDescent="0.25">
      <c r="A229" s="1380" t="s">
        <v>709</v>
      </c>
      <c r="B229" s="1383" t="s">
        <v>566</v>
      </c>
      <c r="C229" s="1673"/>
      <c r="D229" s="1674">
        <f>SUM(D215:D228)</f>
        <v>1307987</v>
      </c>
      <c r="E229" s="1673"/>
      <c r="F229" s="1673"/>
      <c r="G229" s="1673"/>
      <c r="H229" s="1673"/>
      <c r="I229" s="1673"/>
      <c r="J229" s="1673"/>
      <c r="K229" s="1674">
        <f>SUM(K215:K228)</f>
        <v>1307987</v>
      </c>
      <c r="L229" s="1674">
        <f>SUM(L215:L228)</f>
        <v>1288500</v>
      </c>
    </row>
    <row r="230" spans="1:12" ht="15.75" customHeight="1" thickTop="1" x14ac:dyDescent="0.2">
      <c r="A230" s="1350" t="s">
        <v>868</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1079</v>
      </c>
      <c r="B232" s="503">
        <v>2110</v>
      </c>
      <c r="C232" s="1673"/>
      <c r="D232" s="1573">
        <v>334083</v>
      </c>
      <c r="E232" s="1673"/>
      <c r="F232" s="1673"/>
      <c r="G232" s="1673"/>
      <c r="H232" s="1673"/>
      <c r="I232" s="1673"/>
      <c r="J232" s="1673"/>
      <c r="K232" s="1672">
        <f t="shared" ref="K232:K237" si="20">D232</f>
        <v>334083</v>
      </c>
      <c r="L232" s="1573">
        <v>299000</v>
      </c>
    </row>
    <row r="233" spans="1:12" x14ac:dyDescent="0.2">
      <c r="A233" s="1274" t="s">
        <v>1080</v>
      </c>
      <c r="B233" s="503">
        <v>2120</v>
      </c>
      <c r="C233" s="1673"/>
      <c r="D233" s="1573">
        <v>140320</v>
      </c>
      <c r="E233" s="1673"/>
      <c r="F233" s="1673"/>
      <c r="G233" s="1673"/>
      <c r="H233" s="1673"/>
      <c r="I233" s="1673"/>
      <c r="J233" s="1673"/>
      <c r="K233" s="1672">
        <f t="shared" si="20"/>
        <v>140320</v>
      </c>
      <c r="L233" s="1573">
        <v>146500</v>
      </c>
    </row>
    <row r="234" spans="1:12" x14ac:dyDescent="0.2">
      <c r="A234" s="1274" t="s">
        <v>196</v>
      </c>
      <c r="B234" s="503">
        <v>2130</v>
      </c>
      <c r="C234" s="1673"/>
      <c r="D234" s="1573">
        <v>62716</v>
      </c>
      <c r="E234" s="1673"/>
      <c r="F234" s="1673"/>
      <c r="G234" s="1673"/>
      <c r="H234" s="1673"/>
      <c r="I234" s="1673"/>
      <c r="J234" s="1673"/>
      <c r="K234" s="1672">
        <f t="shared" si="20"/>
        <v>62716</v>
      </c>
      <c r="L234" s="1573">
        <v>57000</v>
      </c>
    </row>
    <row r="235" spans="1:12" x14ac:dyDescent="0.2">
      <c r="A235" s="1274" t="s">
        <v>197</v>
      </c>
      <c r="B235" s="503">
        <v>2140</v>
      </c>
      <c r="C235" s="1673"/>
      <c r="D235" s="1573">
        <v>17980</v>
      </c>
      <c r="E235" s="1673"/>
      <c r="F235" s="1673"/>
      <c r="G235" s="1673"/>
      <c r="H235" s="1673"/>
      <c r="I235" s="1673"/>
      <c r="J235" s="1673"/>
      <c r="K235" s="1672">
        <f t="shared" si="20"/>
        <v>17980</v>
      </c>
      <c r="L235" s="1573">
        <v>17500</v>
      </c>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710</v>
      </c>
      <c r="C238" s="1673"/>
      <c r="D238" s="1674">
        <f>SUM(D232:D237)</f>
        <v>555099</v>
      </c>
      <c r="E238" s="1673"/>
      <c r="F238" s="1673"/>
      <c r="G238" s="1673"/>
      <c r="H238" s="1673"/>
      <c r="I238" s="1673"/>
      <c r="J238" s="1673"/>
      <c r="K238" s="1674">
        <f>SUM(K232:K237)</f>
        <v>555099</v>
      </c>
      <c r="L238" s="1674">
        <f>SUM(L232:L237)</f>
        <v>520000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808</v>
      </c>
      <c r="B240" s="503">
        <v>2210</v>
      </c>
      <c r="C240" s="1673"/>
      <c r="D240" s="1586">
        <v>22570</v>
      </c>
      <c r="E240" s="1673"/>
      <c r="F240" s="1673"/>
      <c r="G240" s="1673"/>
      <c r="H240" s="1673"/>
      <c r="I240" s="1673"/>
      <c r="J240" s="1673"/>
      <c r="K240" s="1678">
        <f>D240</f>
        <v>22570</v>
      </c>
      <c r="L240" s="1586">
        <v>36500</v>
      </c>
    </row>
    <row r="241" spans="1:12" x14ac:dyDescent="0.2">
      <c r="A241" s="1274" t="s">
        <v>809</v>
      </c>
      <c r="B241" s="503">
        <v>2220</v>
      </c>
      <c r="C241" s="1673"/>
      <c r="D241" s="1573">
        <v>82185</v>
      </c>
      <c r="E241" s="1673"/>
      <c r="F241" s="1673"/>
      <c r="G241" s="1673"/>
      <c r="H241" s="1673"/>
      <c r="I241" s="1673"/>
      <c r="J241" s="1673"/>
      <c r="K241" s="1678">
        <f>D241</f>
        <v>82185</v>
      </c>
      <c r="L241" s="1573">
        <v>94600</v>
      </c>
    </row>
    <row r="242" spans="1:12" x14ac:dyDescent="0.2">
      <c r="A242" s="1274" t="s">
        <v>810</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104755</v>
      </c>
      <c r="E243" s="1673"/>
      <c r="F243" s="1673"/>
      <c r="G243" s="1673"/>
      <c r="H243" s="1673"/>
      <c r="I243" s="1673"/>
      <c r="J243" s="1673"/>
      <c r="K243" s="1674">
        <f>SUM(K240:K242)</f>
        <v>104755</v>
      </c>
      <c r="L243" s="1674">
        <f>SUM(L240:L242)</f>
        <v>131100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811</v>
      </c>
      <c r="B245" s="503">
        <v>2310</v>
      </c>
      <c r="C245" s="1673"/>
      <c r="D245" s="1586">
        <v>3252</v>
      </c>
      <c r="E245" s="1673"/>
      <c r="F245" s="1673"/>
      <c r="G245" s="1673"/>
      <c r="H245" s="1673"/>
      <c r="I245" s="1673"/>
      <c r="J245" s="1673"/>
      <c r="K245" s="1678">
        <f>D245</f>
        <v>3252</v>
      </c>
      <c r="L245" s="1586">
        <v>1400</v>
      </c>
    </row>
    <row r="246" spans="1:12" x14ac:dyDescent="0.2">
      <c r="A246" s="1274" t="s">
        <v>812</v>
      </c>
      <c r="B246" s="503">
        <v>2320</v>
      </c>
      <c r="C246" s="1673"/>
      <c r="D246" s="1573">
        <v>23829</v>
      </c>
      <c r="E246" s="1673"/>
      <c r="F246" s="1673"/>
      <c r="G246" s="1673"/>
      <c r="H246" s="1673"/>
      <c r="I246" s="1673"/>
      <c r="J246" s="1673"/>
      <c r="K246" s="1678">
        <f t="shared" ref="K246:K256" si="21">D246</f>
        <v>23829</v>
      </c>
      <c r="L246" s="1573">
        <v>25500</v>
      </c>
    </row>
    <row r="247" spans="1:12" x14ac:dyDescent="0.2">
      <c r="A247" s="1274" t="s">
        <v>813</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1776</v>
      </c>
      <c r="B249" s="557" t="s">
        <v>280</v>
      </c>
      <c r="C249" s="1673"/>
      <c r="D249" s="1579"/>
      <c r="E249" s="1673"/>
      <c r="F249" s="1673"/>
      <c r="G249" s="1673"/>
      <c r="H249" s="1673"/>
      <c r="I249" s="1673"/>
      <c r="J249" s="1673"/>
      <c r="K249" s="1678">
        <f t="shared" si="21"/>
        <v>0</v>
      </c>
      <c r="L249" s="1573"/>
    </row>
    <row r="250" spans="1:12" x14ac:dyDescent="0.2">
      <c r="A250" s="1275" t="s">
        <v>1777</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696</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1021</v>
      </c>
      <c r="B254" s="557" t="s">
        <v>285</v>
      </c>
      <c r="C254" s="1673"/>
      <c r="D254" s="1579"/>
      <c r="E254" s="1673"/>
      <c r="F254" s="1673"/>
      <c r="G254" s="1673"/>
      <c r="H254" s="1673"/>
      <c r="I254" s="1673"/>
      <c r="J254" s="1673"/>
      <c r="K254" s="1678">
        <f t="shared" si="21"/>
        <v>0</v>
      </c>
      <c r="L254" s="1573"/>
    </row>
    <row r="255" spans="1:12" x14ac:dyDescent="0.2">
      <c r="A255" s="1275" t="s">
        <v>1022</v>
      </c>
      <c r="B255" s="494" t="s">
        <v>286</v>
      </c>
      <c r="C255" s="1673"/>
      <c r="D255" s="1579"/>
      <c r="E255" s="1673"/>
      <c r="F255" s="1673"/>
      <c r="G255" s="1673"/>
      <c r="H255" s="1673"/>
      <c r="I255" s="1673"/>
      <c r="J255" s="1673"/>
      <c r="K255" s="1678">
        <f t="shared" si="21"/>
        <v>0</v>
      </c>
      <c r="L255" s="1573"/>
    </row>
    <row r="256" spans="1:12" x14ac:dyDescent="0.2">
      <c r="A256" s="1275" t="s">
        <v>964</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27081</v>
      </c>
      <c r="E257" s="1673"/>
      <c r="F257" s="1673"/>
      <c r="G257" s="1673"/>
      <c r="H257" s="1673"/>
      <c r="I257" s="1673"/>
      <c r="J257" s="1673"/>
      <c r="K257" s="1674">
        <f>SUM(K245:K256)</f>
        <v>27081</v>
      </c>
      <c r="L257" s="1674">
        <f>SUM(L245:L256)</f>
        <v>26900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1057</v>
      </c>
      <c r="B259" s="559">
        <v>2410</v>
      </c>
      <c r="C259" s="1673"/>
      <c r="D259" s="1586">
        <v>30178</v>
      </c>
      <c r="E259" s="1673"/>
      <c r="F259" s="1673"/>
      <c r="G259" s="1673"/>
      <c r="H259" s="1673"/>
      <c r="I259" s="1673"/>
      <c r="J259" s="1673"/>
      <c r="K259" s="1678">
        <f>D259</f>
        <v>30178</v>
      </c>
      <c r="L259" s="1586">
        <v>31500</v>
      </c>
    </row>
    <row r="260" spans="1:14" s="493" customFormat="1" x14ac:dyDescent="0.2">
      <c r="A260" s="1292" t="s">
        <v>1775</v>
      </c>
      <c r="B260" s="512">
        <v>2490</v>
      </c>
      <c r="C260" s="1673"/>
      <c r="D260" s="1573">
        <v>54200</v>
      </c>
      <c r="E260" s="1673"/>
      <c r="F260" s="1673"/>
      <c r="G260" s="1673"/>
      <c r="H260" s="1673"/>
      <c r="I260" s="1673"/>
      <c r="J260" s="1673"/>
      <c r="K260" s="1678">
        <f>D260</f>
        <v>54200</v>
      </c>
      <c r="L260" s="1573">
        <v>54000</v>
      </c>
      <c r="M260" s="205"/>
      <c r="N260" s="205"/>
    </row>
    <row r="261" spans="1:14" ht="12.75" customHeight="1" thickBot="1" x14ac:dyDescent="0.25">
      <c r="A261" s="1394" t="s">
        <v>261</v>
      </c>
      <c r="B261" s="1399" t="s">
        <v>34</v>
      </c>
      <c r="C261" s="1673"/>
      <c r="D261" s="1674">
        <f>SUM(D259:D260)</f>
        <v>84378</v>
      </c>
      <c r="E261" s="1673"/>
      <c r="F261" s="1673"/>
      <c r="G261" s="1673"/>
      <c r="H261" s="1673"/>
      <c r="I261" s="1673"/>
      <c r="J261" s="1673"/>
      <c r="K261" s="1674">
        <f>SUM(K259:K260)</f>
        <v>84378</v>
      </c>
      <c r="L261" s="1674">
        <f>SUM(L259:L260)</f>
        <v>85500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1058</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133262</v>
      </c>
      <c r="E264" s="1673"/>
      <c r="F264" s="1673"/>
      <c r="G264" s="1673"/>
      <c r="H264" s="1673"/>
      <c r="I264" s="1673"/>
      <c r="J264" s="1673"/>
      <c r="K264" s="1678">
        <f t="shared" ref="K264:K269" si="22">D264</f>
        <v>133262</v>
      </c>
      <c r="L264" s="1573">
        <v>108000</v>
      </c>
    </row>
    <row r="265" spans="1:14" x14ac:dyDescent="0.2">
      <c r="A265" s="1274" t="s">
        <v>4</v>
      </c>
      <c r="B265" s="503">
        <v>2530</v>
      </c>
      <c r="C265" s="1673"/>
      <c r="D265" s="1573">
        <v>8339</v>
      </c>
      <c r="E265" s="1673"/>
      <c r="F265" s="1673"/>
      <c r="G265" s="1673"/>
      <c r="H265" s="1673"/>
      <c r="I265" s="1673"/>
      <c r="J265" s="1673"/>
      <c r="K265" s="1678">
        <f t="shared" si="22"/>
        <v>8339</v>
      </c>
      <c r="L265" s="1573"/>
    </row>
    <row r="266" spans="1:14" x14ac:dyDescent="0.2">
      <c r="A266" s="1274" t="s">
        <v>195</v>
      </c>
      <c r="B266" s="503">
        <v>2540</v>
      </c>
      <c r="C266" s="1673"/>
      <c r="D266" s="1573"/>
      <c r="E266" s="1673"/>
      <c r="F266" s="1673"/>
      <c r="G266" s="1673"/>
      <c r="H266" s="1673"/>
      <c r="I266" s="1673"/>
      <c r="J266" s="1673"/>
      <c r="K266" s="1678">
        <f t="shared" si="22"/>
        <v>0</v>
      </c>
      <c r="L266" s="1573">
        <v>1000</v>
      </c>
    </row>
    <row r="267" spans="1:14" x14ac:dyDescent="0.2">
      <c r="A267" s="1274" t="s">
        <v>946</v>
      </c>
      <c r="B267" s="503">
        <v>2550</v>
      </c>
      <c r="C267" s="1673"/>
      <c r="D267" s="1573">
        <v>16572</v>
      </c>
      <c r="E267" s="1673"/>
      <c r="F267" s="1673"/>
      <c r="G267" s="1673"/>
      <c r="H267" s="1673"/>
      <c r="I267" s="1673"/>
      <c r="J267" s="1673"/>
      <c r="K267" s="1678">
        <f t="shared" si="22"/>
        <v>16572</v>
      </c>
      <c r="L267" s="1573">
        <v>24000</v>
      </c>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v>500</v>
      </c>
    </row>
    <row r="270" spans="1:14" ht="12.75" customHeight="1" thickBot="1" x14ac:dyDescent="0.25">
      <c r="A270" s="1380" t="s">
        <v>713</v>
      </c>
      <c r="B270" s="1383" t="s">
        <v>35</v>
      </c>
      <c r="C270" s="1673"/>
      <c r="D270" s="1674">
        <f>SUM(D263:D269)</f>
        <v>158173</v>
      </c>
      <c r="E270" s="1673"/>
      <c r="F270" s="1673"/>
      <c r="G270" s="1673"/>
      <c r="H270" s="1673"/>
      <c r="I270" s="1673"/>
      <c r="J270" s="1673"/>
      <c r="K270" s="1674">
        <f>SUM(K263:K269)</f>
        <v>158173</v>
      </c>
      <c r="L270" s="1674">
        <f>SUM(L263:L269)</f>
        <v>133500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1050</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v>351916</v>
      </c>
      <c r="E273" s="1673"/>
      <c r="F273" s="1673"/>
      <c r="G273" s="1673"/>
      <c r="H273" s="1673"/>
      <c r="I273" s="1673"/>
      <c r="J273" s="1673"/>
      <c r="K273" s="1678">
        <f>D273</f>
        <v>351916</v>
      </c>
      <c r="L273" s="1573">
        <v>336000</v>
      </c>
    </row>
    <row r="274" spans="1:12" ht="12" customHeight="1" x14ac:dyDescent="0.2">
      <c r="A274" s="1274" t="s">
        <v>1051</v>
      </c>
      <c r="B274" s="503">
        <v>2630</v>
      </c>
      <c r="C274" s="1673"/>
      <c r="D274" s="1573">
        <v>220838</v>
      </c>
      <c r="E274" s="1673"/>
      <c r="F274" s="1673"/>
      <c r="G274" s="1673"/>
      <c r="H274" s="1673"/>
      <c r="I274" s="1673"/>
      <c r="J274" s="1673"/>
      <c r="K274" s="1678">
        <f>D274</f>
        <v>220838</v>
      </c>
      <c r="L274" s="1573">
        <v>269900</v>
      </c>
    </row>
    <row r="275" spans="1:12" x14ac:dyDescent="0.2">
      <c r="A275" s="1274" t="s">
        <v>400</v>
      </c>
      <c r="B275" s="503">
        <v>2640</v>
      </c>
      <c r="C275" s="1673"/>
      <c r="D275" s="1573">
        <v>51407</v>
      </c>
      <c r="E275" s="1673"/>
      <c r="F275" s="1673"/>
      <c r="G275" s="1673"/>
      <c r="H275" s="1673"/>
      <c r="I275" s="1673"/>
      <c r="J275" s="1673"/>
      <c r="K275" s="1678">
        <f>D275</f>
        <v>51407</v>
      </c>
      <c r="L275" s="1573"/>
    </row>
    <row r="276" spans="1:12" x14ac:dyDescent="0.2">
      <c r="A276" s="1274" t="s">
        <v>401</v>
      </c>
      <c r="B276" s="503">
        <v>2660</v>
      </c>
      <c r="C276" s="1673"/>
      <c r="D276" s="1573">
        <v>28534</v>
      </c>
      <c r="E276" s="1673"/>
      <c r="F276" s="1673"/>
      <c r="G276" s="1673"/>
      <c r="H276" s="1673"/>
      <c r="I276" s="1673"/>
      <c r="J276" s="1673"/>
      <c r="K276" s="1678">
        <f>D276</f>
        <v>28534</v>
      </c>
      <c r="L276" s="1573">
        <v>31000</v>
      </c>
    </row>
    <row r="277" spans="1:12" ht="12.75" customHeight="1" thickBot="1" x14ac:dyDescent="0.25">
      <c r="A277" s="1393" t="s">
        <v>37</v>
      </c>
      <c r="B277" s="1381" t="s">
        <v>36</v>
      </c>
      <c r="C277" s="1673"/>
      <c r="D277" s="1674">
        <f>SUM(D272:D276)</f>
        <v>652695</v>
      </c>
      <c r="E277" s="1673"/>
      <c r="F277" s="1673"/>
      <c r="G277" s="1673"/>
      <c r="H277" s="1673"/>
      <c r="I277" s="1673"/>
      <c r="J277" s="1673"/>
      <c r="K277" s="1674">
        <f>SUM(K272:K276)</f>
        <v>652695</v>
      </c>
      <c r="L277" s="1674">
        <f>SUM(L272:L276)</f>
        <v>636900</v>
      </c>
    </row>
    <row r="278" spans="1:12" ht="13.5" customHeight="1" thickTop="1" x14ac:dyDescent="0.2">
      <c r="A278" s="1280" t="s">
        <v>972</v>
      </c>
      <c r="B278" s="531" t="s">
        <v>570</v>
      </c>
      <c r="C278" s="1673"/>
      <c r="D278" s="1695"/>
      <c r="E278" s="1673"/>
      <c r="F278" s="1673"/>
      <c r="G278" s="1673"/>
      <c r="H278" s="1673"/>
      <c r="I278" s="1673"/>
      <c r="J278" s="1673"/>
      <c r="K278" s="1696">
        <f>D278</f>
        <v>0</v>
      </c>
      <c r="L278" s="1695"/>
    </row>
    <row r="279" spans="1:12" ht="12.75" customHeight="1" thickBot="1" x14ac:dyDescent="0.25">
      <c r="A279" s="1400" t="s">
        <v>805</v>
      </c>
      <c r="B279" s="1387">
        <v>2000</v>
      </c>
      <c r="C279" s="1673"/>
      <c r="D279" s="1681">
        <f>SUM(D238,D243,D257,D261,D270,D277,D278)</f>
        <v>1582181</v>
      </c>
      <c r="E279" s="1673"/>
      <c r="F279" s="1673"/>
      <c r="G279" s="1673"/>
      <c r="H279" s="1673"/>
      <c r="I279" s="1673"/>
      <c r="J279" s="1673"/>
      <c r="K279" s="1681">
        <f>SUM(K238,K243,K257,K261,K270,K277,K278)</f>
        <v>1582181</v>
      </c>
      <c r="L279" s="1681">
        <f>SUM(L238,L243,L257,L261,L270,L277,L278)</f>
        <v>1533900</v>
      </c>
    </row>
    <row r="280" spans="1:12" ht="15.75" customHeight="1" thickTop="1" thickBot="1" x14ac:dyDescent="0.25">
      <c r="A280" s="1362" t="s">
        <v>869</v>
      </c>
      <c r="B280" s="1351">
        <v>3000</v>
      </c>
      <c r="C280" s="1673"/>
      <c r="D280" s="1651">
        <v>391676</v>
      </c>
      <c r="E280" s="1673"/>
      <c r="F280" s="1673"/>
      <c r="G280" s="1673"/>
      <c r="H280" s="1673"/>
      <c r="I280" s="1673"/>
      <c r="J280" s="1673"/>
      <c r="K280" s="1687">
        <f>D280</f>
        <v>391676</v>
      </c>
      <c r="L280" s="1651">
        <v>385500</v>
      </c>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493</v>
      </c>
      <c r="B282" s="562" t="s">
        <v>1810</v>
      </c>
      <c r="C282" s="1673"/>
      <c r="D282" s="1574"/>
      <c r="E282" s="1673"/>
      <c r="F282" s="1673"/>
      <c r="G282" s="1673"/>
      <c r="H282" s="1673"/>
      <c r="I282" s="1673"/>
      <c r="J282" s="1673"/>
      <c r="K282" s="1672">
        <f>D282</f>
        <v>0</v>
      </c>
      <c r="L282" s="1574"/>
    </row>
    <row r="283" spans="1:12" x14ac:dyDescent="0.2">
      <c r="A283" s="1274" t="s">
        <v>301</v>
      </c>
      <c r="B283" s="503">
        <v>4120</v>
      </c>
      <c r="C283" s="1673"/>
      <c r="D283" s="1573">
        <v>30021</v>
      </c>
      <c r="E283" s="1673"/>
      <c r="F283" s="1673"/>
      <c r="G283" s="1673"/>
      <c r="H283" s="1673"/>
      <c r="I283" s="1673"/>
      <c r="J283" s="1673"/>
      <c r="K283" s="1672">
        <f>D283</f>
        <v>30021</v>
      </c>
      <c r="L283" s="1573">
        <v>2900</v>
      </c>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1467</v>
      </c>
      <c r="B285" s="1381" t="s">
        <v>854</v>
      </c>
      <c r="C285" s="1673"/>
      <c r="D285" s="1674">
        <f>SUM(D282:D284)</f>
        <v>30021</v>
      </c>
      <c r="E285" s="1673"/>
      <c r="F285" s="1673"/>
      <c r="G285" s="1673"/>
      <c r="H285" s="1673"/>
      <c r="I285" s="1673"/>
      <c r="J285" s="1673"/>
      <c r="K285" s="1674">
        <f>SUM(K282:K284)</f>
        <v>30021</v>
      </c>
      <c r="L285" s="1674">
        <f>SUM(L282:L284)</f>
        <v>2900</v>
      </c>
    </row>
    <row r="286" spans="1:12" ht="15.75" customHeight="1" thickTop="1" x14ac:dyDescent="0.2">
      <c r="A286" s="1350" t="s">
        <v>870</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1159</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756</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v>100000</v>
      </c>
    </row>
    <row r="295" spans="1:14" ht="12.75" customHeight="1" thickTop="1" thickBot="1" x14ac:dyDescent="0.25">
      <c r="A295" s="2278" t="s">
        <v>502</v>
      </c>
      <c r="B295" s="2279"/>
      <c r="C295" s="1673"/>
      <c r="D295" s="1674">
        <f>SUM(D229,D279,D280,D285)</f>
        <v>3311865</v>
      </c>
      <c r="E295" s="1673"/>
      <c r="F295" s="1673"/>
      <c r="G295" s="1673"/>
      <c r="H295" s="1674">
        <f>H293</f>
        <v>0</v>
      </c>
      <c r="I295" s="1673"/>
      <c r="J295" s="1673"/>
      <c r="K295" s="1674">
        <f>SUM(K229,K279,K280,K285,K293,K294)</f>
        <v>3311865</v>
      </c>
      <c r="L295" s="1674">
        <f>SUM(L229,L279,L280,L285,L293,L294)</f>
        <v>3310800</v>
      </c>
    </row>
    <row r="296" spans="1:14" ht="13.5" thickTop="1" x14ac:dyDescent="0.2">
      <c r="A296" s="2287" t="s">
        <v>988</v>
      </c>
      <c r="B296" s="2288"/>
      <c r="C296" s="1673"/>
      <c r="D296" s="1675"/>
      <c r="E296" s="1673"/>
      <c r="F296" s="1673"/>
      <c r="G296" s="1673"/>
      <c r="H296" s="1707"/>
      <c r="I296" s="1673"/>
      <c r="J296" s="1673"/>
      <c r="K296" s="1689">
        <f>'Revenues 9-14'!G268-'Expenditures 15-22'!K295</f>
        <v>-350707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972</v>
      </c>
      <c r="B302" s="503" t="s">
        <v>570</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1815</v>
      </c>
      <c r="B306" s="562" t="s">
        <v>1810</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1467</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1" t="s">
        <v>988</v>
      </c>
      <c r="B313" s="2272"/>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891</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1776</v>
      </c>
      <c r="B320" s="568" t="s">
        <v>280</v>
      </c>
      <c r="C320" s="1574"/>
      <c r="D320" s="1574"/>
      <c r="E320" s="1574">
        <v>164976</v>
      </c>
      <c r="F320" s="1574"/>
      <c r="G320" s="1574"/>
      <c r="H320" s="1574"/>
      <c r="I320" s="1574"/>
      <c r="J320" s="1574"/>
      <c r="K320" s="1672">
        <f t="shared" ref="K320:K327" si="24">SUM(C320:J320)</f>
        <v>164976</v>
      </c>
      <c r="L320" s="1574">
        <v>175200</v>
      </c>
      <c r="M320" s="539"/>
      <c r="N320" s="539"/>
    </row>
    <row r="321" spans="1:14" s="548" customFormat="1" x14ac:dyDescent="0.2">
      <c r="A321" s="1289" t="s">
        <v>297</v>
      </c>
      <c r="B321" s="567" t="s">
        <v>281</v>
      </c>
      <c r="C321" s="1574"/>
      <c r="D321" s="1574"/>
      <c r="E321" s="1574">
        <v>4999</v>
      </c>
      <c r="F321" s="1574"/>
      <c r="G321" s="1574"/>
      <c r="H321" s="1574"/>
      <c r="I321" s="1574"/>
      <c r="J321" s="1574"/>
      <c r="K321" s="1672">
        <f t="shared" si="24"/>
        <v>4999</v>
      </c>
      <c r="L321" s="1574">
        <v>1000</v>
      </c>
      <c r="M321" s="539"/>
      <c r="N321" s="539"/>
    </row>
    <row r="322" spans="1:14" s="548" customFormat="1" x14ac:dyDescent="0.2">
      <c r="A322" s="1289" t="s">
        <v>236</v>
      </c>
      <c r="B322" s="567" t="s">
        <v>282</v>
      </c>
      <c r="C322" s="1574"/>
      <c r="D322" s="1574"/>
      <c r="E322" s="1574">
        <v>120358</v>
      </c>
      <c r="F322" s="1574"/>
      <c r="G322" s="1574"/>
      <c r="H322" s="1574"/>
      <c r="I322" s="1574"/>
      <c r="J322" s="1574"/>
      <c r="K322" s="1672">
        <f t="shared" si="24"/>
        <v>120358</v>
      </c>
      <c r="L322" s="1574">
        <v>165000</v>
      </c>
      <c r="M322" s="539"/>
      <c r="N322" s="539"/>
    </row>
    <row r="323" spans="1:14" s="548" customFormat="1" x14ac:dyDescent="0.2">
      <c r="A323" s="1289" t="s">
        <v>696</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1022</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1121</v>
      </c>
      <c r="C328" s="1579"/>
      <c r="D328" s="1579"/>
      <c r="E328" s="1579">
        <v>60000</v>
      </c>
      <c r="F328" s="1579"/>
      <c r="G328" s="1579"/>
      <c r="H328" s="1579"/>
      <c r="I328" s="1579"/>
      <c r="J328" s="1579"/>
      <c r="K328" s="1713">
        <f>SUM(C328:J328)</f>
        <v>60000</v>
      </c>
      <c r="L328" s="1579">
        <v>60000</v>
      </c>
      <c r="M328" s="539"/>
      <c r="N328" s="539"/>
    </row>
    <row r="329" spans="1:14" s="548" customFormat="1" x14ac:dyDescent="0.2">
      <c r="A329" s="1290" t="s">
        <v>1122</v>
      </c>
      <c r="B329" s="562" t="s">
        <v>1123</v>
      </c>
      <c r="C329" s="1579"/>
      <c r="D329" s="1579"/>
      <c r="E329" s="1579">
        <v>20000</v>
      </c>
      <c r="F329" s="1579"/>
      <c r="G329" s="1579"/>
      <c r="H329" s="1579"/>
      <c r="I329" s="1579"/>
      <c r="J329" s="1579"/>
      <c r="K329" s="1713">
        <f>SUM(C329:J329)</f>
        <v>20000</v>
      </c>
      <c r="L329" s="1579">
        <v>20000</v>
      </c>
      <c r="M329" s="539"/>
      <c r="N329" s="539"/>
    </row>
    <row r="330" spans="1:14" s="548" customFormat="1" ht="12.75" customHeight="1" thickBot="1" x14ac:dyDescent="0.25">
      <c r="A330" s="1401" t="s">
        <v>711</v>
      </c>
      <c r="B330" s="1381" t="s">
        <v>565</v>
      </c>
      <c r="C330" s="1674">
        <f>SUM(C319:C329)</f>
        <v>0</v>
      </c>
      <c r="D330" s="1674">
        <f t="shared" ref="D330:J330" si="25">SUM(D319:D329)</f>
        <v>0</v>
      </c>
      <c r="E330" s="1674">
        <f t="shared" si="25"/>
        <v>370333</v>
      </c>
      <c r="F330" s="1674">
        <f t="shared" si="25"/>
        <v>0</v>
      </c>
      <c r="G330" s="1674">
        <f t="shared" si="25"/>
        <v>0</v>
      </c>
      <c r="H330" s="1674">
        <f t="shared" si="25"/>
        <v>0</v>
      </c>
      <c r="I330" s="1674">
        <f t="shared" si="25"/>
        <v>0</v>
      </c>
      <c r="J330" s="1674">
        <f t="shared" si="25"/>
        <v>0</v>
      </c>
      <c r="K330" s="1674">
        <f>SUM(K319:K329)</f>
        <v>370333</v>
      </c>
      <c r="L330" s="1674">
        <f>SUM(L319:L329)</f>
        <v>421200</v>
      </c>
      <c r="M330" s="539"/>
      <c r="N330" s="539"/>
    </row>
    <row r="331" spans="1:14" s="548" customFormat="1" ht="12.75" customHeight="1" thickTop="1" x14ac:dyDescent="0.2">
      <c r="A331" s="1467" t="s">
        <v>1816</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1810</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1812</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1817</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1159</v>
      </c>
      <c r="B338" s="562" t="s">
        <v>613</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370333</v>
      </c>
      <c r="F342" s="1674">
        <f>SUM(F330)</f>
        <v>0</v>
      </c>
      <c r="G342" s="1674">
        <f>SUM(G330)</f>
        <v>0</v>
      </c>
      <c r="H342" s="1674">
        <f>SUM(H330,H334,H340)</f>
        <v>0</v>
      </c>
      <c r="I342" s="1674">
        <f>SUM(I330)</f>
        <v>0</v>
      </c>
      <c r="J342" s="1674">
        <f>SUM(J330)</f>
        <v>0</v>
      </c>
      <c r="K342" s="1674">
        <f>SUM(K330,K334,K340)</f>
        <v>370333</v>
      </c>
      <c r="L342" s="1681">
        <f>SUM(L330,L334,L340,L341)</f>
        <v>421200</v>
      </c>
    </row>
    <row r="343" spans="1:14" ht="12.75" customHeight="1" thickTop="1" x14ac:dyDescent="0.2">
      <c r="A343" s="2273" t="s">
        <v>988</v>
      </c>
      <c r="B343" s="2274"/>
      <c r="C343" s="1673"/>
      <c r="D343" s="1673"/>
      <c r="E343" s="1673"/>
      <c r="F343" s="1673"/>
      <c r="G343" s="1673"/>
      <c r="H343" s="1673"/>
      <c r="I343" s="1673"/>
      <c r="J343" s="1673"/>
      <c r="K343" s="1689">
        <f>'Revenues 9-14'!J268-'Expenditures 15-22'!K342</f>
        <v>-352652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959</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713</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972</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854</v>
      </c>
      <c r="C353" s="1673"/>
      <c r="D353" s="1673"/>
      <c r="E353" s="1673"/>
      <c r="F353" s="1673"/>
      <c r="G353" s="1673"/>
      <c r="H353" s="1673"/>
      <c r="I353" s="1673"/>
      <c r="J353" s="1673"/>
      <c r="K353" s="1673"/>
      <c r="L353" s="1673"/>
      <c r="M353" s="501"/>
      <c r="N353" s="501"/>
    </row>
    <row r="354" spans="1:14" x14ac:dyDescent="0.2">
      <c r="A354" s="1469" t="s">
        <v>1818</v>
      </c>
      <c r="B354" s="557" t="s">
        <v>1810</v>
      </c>
      <c r="C354" s="1673"/>
      <c r="D354" s="1673"/>
      <c r="E354" s="1673"/>
      <c r="F354" s="1673"/>
      <c r="G354" s="1673"/>
      <c r="H354" s="1579"/>
      <c r="I354" s="1716"/>
      <c r="J354" s="1673"/>
      <c r="K354" s="1713">
        <f>H354</f>
        <v>0</v>
      </c>
      <c r="L354" s="1577"/>
    </row>
    <row r="355" spans="1:14" ht="12.75" customHeight="1" x14ac:dyDescent="0.2">
      <c r="A355" s="1283" t="s">
        <v>1819</v>
      </c>
      <c r="B355" s="562" t="s">
        <v>1812</v>
      </c>
      <c r="C355" s="1673"/>
      <c r="D355" s="1673"/>
      <c r="E355" s="1673"/>
      <c r="F355" s="1673"/>
      <c r="G355" s="1673"/>
      <c r="H355" s="1574"/>
      <c r="I355" s="1716"/>
      <c r="J355" s="1673"/>
      <c r="K355" s="1607">
        <f>H355</f>
        <v>0</v>
      </c>
      <c r="L355" s="1574"/>
    </row>
    <row r="356" spans="1:14" ht="12.75" customHeight="1" x14ac:dyDescent="0.2">
      <c r="A356" s="1469" t="s">
        <v>692</v>
      </c>
      <c r="B356" s="557" t="s">
        <v>554</v>
      </c>
      <c r="C356" s="1673"/>
      <c r="D356" s="1673"/>
      <c r="E356" s="1673"/>
      <c r="F356" s="1673"/>
      <c r="G356" s="1673"/>
      <c r="H356" s="1584"/>
      <c r="I356" s="1716"/>
      <c r="J356" s="1673"/>
      <c r="K356" s="1600">
        <f>H356</f>
        <v>0</v>
      </c>
      <c r="L356" s="1584"/>
    </row>
    <row r="357" spans="1:14" ht="12.75" customHeight="1" thickBot="1" x14ac:dyDescent="0.25">
      <c r="A357" s="1380" t="s">
        <v>1467</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1650</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7" t="s">
        <v>988</v>
      </c>
      <c r="B368" s="2288"/>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4d435f69-8686-490b-bd6d-b153bf22ab50"/>
    <ds:schemaRef ds:uri="http://www.w3.org/XML/1998/namespace"/>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d21dc803-237d-4c68-8692-8d731fd29118"/>
    <ds:schemaRef ds:uri="http://purl.org/dc/terms/"/>
    <ds:schemaRef ds:uri="http://schemas.microsoft.com/sharepoint/v3"/>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2020-11-18T19:37:26Z</cp:lastPrinted>
  <dcterms:created xsi:type="dcterms:W3CDTF">2003-10-29T19:06:34Z</dcterms:created>
  <dcterms:modified xsi:type="dcterms:W3CDTF">2020-11-23T23:48:00Z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