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2B2454F-BC2B-42B5-842E-ED2459ECCF52}"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68" i="5" l="1"/>
  <c r="D12" i="11" l="1"/>
  <c r="L27" i="185" l="1"/>
  <c r="L26" i="185"/>
  <c r="L25" i="185"/>
  <c r="L24" i="185"/>
  <c r="L23" i="185"/>
  <c r="L22" i="185"/>
  <c r="L21" i="185"/>
  <c r="L20" i="185"/>
  <c r="L19" i="185"/>
  <c r="L18" i="185"/>
  <c r="L17" i="185"/>
  <c r="L16" i="185"/>
  <c r="L15" i="185"/>
  <c r="L14" i="185"/>
  <c r="L13" i="185"/>
  <c r="L12" i="185"/>
  <c r="L11" i="185"/>
  <c r="I9" i="185"/>
  <c r="G9" i="185"/>
  <c r="F9" i="185"/>
  <c r="E9" i="185"/>
  <c r="J8" i="185"/>
  <c r="H8" i="185"/>
  <c r="J39" i="8" l="1"/>
  <c r="E5" i="29"/>
  <c r="C55" i="29"/>
  <c r="E46" i="29"/>
  <c r="F14" i="29"/>
  <c r="E14" i="29"/>
  <c r="D14" i="29"/>
  <c r="C14" i="29"/>
  <c r="F8" i="29"/>
  <c r="H8" i="29"/>
  <c r="G8" i="29"/>
  <c r="E8" i="29"/>
  <c r="D8" i="29"/>
  <c r="C8" i="29"/>
  <c r="F5" i="29"/>
  <c r="D5" i="29"/>
  <c r="C5" i="29"/>
  <c r="H169" i="29"/>
  <c r="D223" i="29"/>
  <c r="C6"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5" i="127"/>
  <c r="B66"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35" i="106"/>
  <c r="D7135" i="106" s="1"/>
  <c r="E58" i="184"/>
  <c r="N58" i="184" s="1"/>
  <c r="D31" i="108"/>
  <c r="E16" i="184"/>
  <c r="H16" i="184" s="1"/>
  <c r="B7189" i="106"/>
  <c r="D7189" i="106" s="1"/>
  <c r="E64" i="184"/>
  <c r="N64" i="184" s="1"/>
  <c r="B7171" i="106"/>
  <c r="D7171" i="106" s="1"/>
  <c r="E62" i="184"/>
  <c r="N62" i="184" s="1"/>
  <c r="B7153" i="106"/>
  <c r="D7153" i="106" s="1"/>
  <c r="E60" i="184"/>
  <c r="N60" i="184" s="1"/>
  <c r="F50" i="34"/>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H15" i="184"/>
  <c r="G33" i="108"/>
  <c r="E17" i="184"/>
  <c r="H17" i="184" s="1"/>
  <c r="D69" i="36"/>
  <c r="D68" i="36"/>
  <c r="G30" i="108"/>
  <c r="H12" i="184"/>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N57" i="184"/>
  <c r="N68" i="184" s="1"/>
  <c r="E68" i="184"/>
  <c r="E367" i="29"/>
  <c r="B3635" i="106"/>
  <c r="D3635" i="106" s="1"/>
  <c r="H19" i="184"/>
  <c r="L20" i="184" s="1"/>
  <c r="F41" i="108"/>
  <c r="G43" i="108" s="1"/>
  <c r="L114" i="29"/>
  <c r="D44" i="36"/>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B6223" i="106" l="1"/>
  <c r="D6223" i="106" s="1"/>
  <c r="K17" i="4"/>
  <c r="B3575" i="106" s="1"/>
  <c r="D3575" i="106" s="1"/>
  <c r="F77" i="3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<sst xmlns="http://schemas.openxmlformats.org/spreadsheetml/2006/main" count="5301" uniqueCount="2147">
  <si>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</si>
  <si>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</si>
  <si>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</si>
  <si>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</si>
  <si>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</si>
  <si>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</si>
  <si>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</si>
  <si>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</si>
  <si>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</si>
  <si>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</si>
  <si>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</si>
  <si>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</si>
  <si>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</si>
  <si>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</si>
  <si>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</si>
  <si>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</si>
  <si>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</si>
  <si>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</si>
  <si>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</si>
  <si>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</si>
  <si>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</si>
  <si>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</si>
  <si>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</si>
  <si>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</si>
  <si>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</si>
  <si>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</si>
  <si>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</si>
  <si>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</si>
  <si>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</si>
  <si>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</si>
  <si>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</si>
  <si>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</si>
  <si>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</si>
  <si>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</si>
  <si>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</si>
  <si>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</si>
  <si>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</si>
  <si>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</si>
  <si>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</si>
  <si>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</si>
  <si>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</si>
  <si>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</si>
  <si>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</si>
  <si>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</si>
  <si>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</si>
  <si>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</si>
  <si>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</si>
  <si>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</si>
  <si>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</si>
  <si>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</si>
  <si>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</si>
  <si>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</si>
  <si>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</si>
  <si>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</si>
  <si>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</si>
  <si>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</si>
  <si>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</si>
  <si>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</si>
  <si>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</si>
  <si>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</si>
  <si>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</si>
  <si>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</si>
  <si>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</si>
  <si>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</si>
  <si>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</si>
  <si>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</si>
  <si>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</si>
  <si>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</si>
  <si>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</si>
  <si>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</si>
  <si>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</si>
  <si>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</si>
  <si>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</si>
  <si>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</si>
  <si>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</si>
  <si>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</si>
  <si>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</si>
  <si>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</si>
  <si>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</si>
  <si>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</si>
  <si>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</si>
  <si>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</si>
  <si>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</si>
  <si>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</si>
  <si>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</si>
  <si>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</si>
  <si>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</si>
  <si>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</si>
  <si>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</si>
  <si>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</si>
  <si>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</si>
  <si>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</si>
  <si>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</si>
  <si>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</si>
  <si>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</si>
  <si>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</si>
  <si>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</si>
  <si>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</si>
  <si>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</si>
  <si>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</si>
  <si>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</si>
  <si>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</si>
  <si>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</si>
  <si>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</si>
  <si>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</si>
  <si>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</si>
  <si>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</si>
  <si>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</si>
  <si>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</si>
  <si>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</si>
  <si>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</si>
  <si>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</si>
  <si>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</si>
  <si>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</si>
  <si>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</si>
  <si>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</si>
  <si>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</si>
  <si>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</si>
  <si>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</si>
  <si>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</si>
  <si>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</si>
  <si>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</si>
  <si>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</si>
  <si>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</si>
  <si>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</si>
  <si>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</si>
  <si>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</si>
  <si>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</si>
  <si>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</si>
  <si>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</si>
  <si>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</si>
  <si>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</si>
  <si>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</si>
  <si>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</si>
  <si>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</si>
  <si>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</si>
  <si>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</si>
  <si>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</si>
  <si>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</si>
  <si>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</si>
  <si>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</si>
  <si>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</si>
  <si>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</si>
  <si>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</si>
  <si>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</si>
  <si>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</si>
  <si>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</si>
  <si>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</si>
  <si>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</si>
  <si>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</si>
  <si>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</si>
  <si>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</si>
  <si>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</si>
  <si>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</si>
  <si>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</si>
  <si>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</si>
  <si>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</si>
  <si>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</si>
  <si>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</si>
  <si>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</si>
  <si>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</si>
  <si>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</si>
  <si>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</si>
  <si>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</si>
  <si>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</si>
  <si>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</si>
  <si>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</si>
  <si>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</si>
  <si>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</si>
  <si>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</si>
  <si>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</si>
  <si>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</si>
  <si>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</si>
  <si>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</si>
  <si>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</si>
  <si>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</si>
  <si>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</si>
  <si>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</si>
  <si>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</si>
  <si>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</si>
  <si>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</si>
  <si>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</si>
  <si>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</si>
  <si>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</si>
  <si>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</si>
  <si>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</si>
  <si>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</si>
  <si>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</si>
  <si>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</si>
  <si>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</si>
  <si>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</si>
  <si>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</si>
  <si>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</si>
  <si>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</si>
  <si>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</si>
  <si>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</si>
  <si>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</si>
  <si>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</si>
  <si>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</si>
  <si>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</si>
  <si>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</si>
  <si>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</si>
  <si>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</si>
  <si>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</si>
  <si>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</si>
  <si>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</si>
  <si>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</si>
  <si>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</si>
  <si>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</si>
  <si>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</si>
  <si>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</si>
  <si>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</si>
  <si>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</si>
  <si>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</si>
  <si>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</si>
  <si>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</si>
  <si>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</si>
  <si>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</si>
  <si>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</si>
  <si>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</si>
  <si>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</si>
  <si>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</si>
  <si>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</si>
  <si>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</si>
  <si>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</si>
  <si>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</si>
  <si>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</si>
  <si>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</si>
  <si>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</si>
  <si>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</si>
  <si>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</si>
  <si>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</si>
  <si>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</si>
  <si>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</si>
  <si>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</si>
  <si>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</si>
  <si>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</si>
  <si>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</si>
  <si>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</si>
  <si>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</si>
  <si>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</si>
  <si>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</si>
  <si>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</si>
  <si>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</si>
  <si>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</si>
  <si>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</si>
  <si>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</si>
  <si>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</si>
  <si>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</si>
  <si>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</si>
  <si>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</si>
  <si>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</si>
  <si>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</si>
  <si>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</si>
  <si>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</si>
  <si>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</si>
  <si>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</si>
  <si>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</si>
  <si>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</si>
  <si>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</si>
  <si>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</si>
  <si>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</si>
  <si>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</si>
  <si>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</si>
  <si>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</si>
  <si>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</si>
  <si>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</si>
  <si>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</si>
  <si>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</si>
  <si>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</si>
  <si>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</si>
  <si>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</si>
  <si>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</si>
  <si>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</si>
  <si>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</si>
  <si>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</si>
  <si>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</si>
  <si>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</si>
  <si>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</si>
  <si>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</si>
  <si>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</si>
  <si>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</si>
  <si>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</si>
  <si>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</si>
  <si>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</si>
  <si>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</si>
  <si>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</si>
  <si>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</si>
  <si>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</si>
  <si>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</si>
  <si>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</si>
  <si>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</si>
  <si>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</si>
  <si>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</si>
  <si>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</si>
  <si>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</si>
  <si>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</si>
  <si>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</si>
  <si>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</si>
  <si>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</si>
  <si>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</si>
  <si>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</si>
  <si>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</si>
  <si>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</si>
  <si>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</si>
  <si>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</si>
  <si>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</si>
  <si>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</si>
  <si>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</si>
  <si>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</si>
  <si>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</si>
  <si>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</si>
  <si>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</si>
  <si>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</si>
  <si>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</si>
  <si>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</si>
  <si>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</si>
  <si>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</si>
  <si>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</si>
  <si>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</si>
  <si>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</si>
  <si>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</si>
  <si>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</si>
  <si>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</si>
  <si>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</si>
  <si>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</si>
  <si>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</si>
  <si>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</si>
  <si>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</si>
  <si>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</si>
  <si>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</si>
  <si>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</si>
  <si>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</si>
  <si>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</si>
  <si>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</si>
  <si>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</si>
  <si>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</si>
  <si>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</si>
  <si>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</si>
  <si>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</si>
  <si>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</si>
  <si>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</si>
  <si>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</si>
  <si>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</si>
  <si>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</si>
  <si>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</si>
  <si>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</si>
  <si>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</si>
  <si>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</si>
  <si>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</si>
  <si>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</si>
  <si>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</si>
  <si>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</si>
  <si>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</si>
  <si>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</si>
  <si>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</si>
  <si>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</si>
  <si>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</si>
  <si>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</si>
  <si>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</si>
  <si>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</si>
  <si>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</si>
  <si>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</si>
  <si>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</si>
  <si>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</si>
  <si>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</si>
  <si>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</si>
  <si>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</si>
  <si>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</si>
  <si>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</si>
  <si>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</si>
  <si>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</si>
  <si>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</si>
  <si>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</si>
  <si>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</si>
  <si>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</si>
  <si>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</si>
  <si>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</si>
  <si>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</si>
  <si>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</si>
  <si>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</si>
  <si>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</si>
  <si>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</si>
  <si>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</si>
  <si>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</si>
  <si>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</si>
  <si>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</si>
  <si>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</si>
  <si>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</si>
  <si>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</si>
  <si>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</si>
  <si>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</si>
  <si>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</si>
  <si>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</si>
  <si>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</si>
  <si>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</si>
  <si>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</si>
  <si>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</si>
  <si>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</si>
  <si>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</si>
  <si>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</si>
  <si>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</si>
  <si>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</si>
  <si>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</si>
  <si>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</si>
  <si>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</si>
  <si>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</si>
  <si>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</si>
  <si>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</si>
  <si>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</si>
  <si>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</si>
  <si>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</si>
  <si>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</si>
  <si>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</si>
  <si>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</si>
  <si>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</si>
  <si>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</si>
  <si>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</si>
  <si>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</si>
  <si>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</si>
  <si>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</si>
  <si>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</si>
  <si>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</si>
  <si>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</si>
  <si>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</si>
  <si>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</si>
  <si>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</si>
  <si>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</si>
  <si>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</si>
  <si>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</si>
  <si>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</si>
  <si>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</si>
  <si>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</si>
  <si>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</si>
  <si>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</si>
  <si>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</si>
  <si>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</si>
  <si>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</si>
  <si>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</si>
  <si>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</si>
  <si>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</si>
  <si>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</si>
  <si>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</si>
  <si>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</si>
  <si>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</si>
  <si>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</si>
  <si>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</si>
  <si>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</si>
  <si>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</si>
  <si>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</si>
  <si>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</si>
  <si>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</si>
  <si>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</si>
  <si>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</si>
  <si>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</si>
  <si>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</si>
  <si>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</si>
  <si>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</si>
  <si>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</si>
  <si>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</si>
  <si>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</si>
  <si>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</si>
  <si>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</si>
  <si>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</si>
  <si>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</si>
  <si>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</si>
  <si>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</si>
  <si>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</si>
  <si>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</si>
  <si>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</si>
  <si>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</si>
  <si>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</si>
  <si>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</si>
  <si>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</si>
  <si>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</si>
  <si>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</si>
  <si>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</si>
  <si>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</si>
  <si>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</si>
  <si>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</si>
  <si>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</si>
  <si>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</si>
  <si>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</si>
  <si>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</si>
  <si>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</si>
  <si>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</si>
  <si>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</si>
  <si>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</si>
  <si>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</si>
  <si>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</si>
  <si>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</si>
  <si>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</si>
  <si>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</si>
  <si>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</si>
  <si>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</si>
  <si>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</si>
  <si>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</si>
  <si>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</si>
  <si>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</si>
  <si>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</si>
  <si>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</si>
  <si>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</si>
  <si>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</si>
  <si>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</si>
  <si>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</si>
  <si>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</si>
  <si>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</si>
  <si>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</si>
  <si>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</si>
  <si>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</si>
  <si>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</si>
  <si>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</si>
  <si>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</si>
  <si>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</si>
  <si>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</si>
  <si>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</si>
  <si>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</si>
  <si>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</si>
  <si>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</si>
  <si>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</si>
  <si>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</si>
  <si>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</si>
  <si>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</si>
  <si>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</si>
  <si>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</si>
  <si>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</si>
  <si>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</si>
  <si>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</si>
  <si>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</si>
  <si>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</si>
  <si>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</si>
  <si>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</si>
  <si>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</si>
  <si>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</si>
  <si>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</si>
  <si>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</si>
  <si>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</si>
  <si>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</si>
  <si>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</si>
  <si>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</si>
  <si>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</si>
  <si>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</si>
  <si>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</si>
  <si>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</si>
  <si>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</si>
  <si>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</si>
  <si>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</si>
  <si>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</si>
  <si>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</si>
  <si>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</si>
  <si>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</si>
  <si>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</si>
  <si>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</si>
  <si>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</si>
  <si>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</si>
  <si>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</si>
  <si>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</si>
  <si>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</si>
  <si>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</si>
  <si>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</si>
  <si>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</si>
  <si>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</si>
  <si>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</si>
  <si>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</si>
  <si>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</si>
  <si>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</si>
  <si>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</si>
  <si>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</si>
  <si>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</si>
  <si>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</si>
  <si>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</si>
  <si>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</si>
  <si>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</si>
  <si>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</si>
  <si>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</si>
  <si>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</si>
  <si>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</si>
  <si>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</si>
  <si>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</si>
  <si>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</si>
  <si>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</si>
  <si>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</si>
  <si>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</si>
  <si>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</si>
  <si>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</si>
  <si>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</si>
  <si>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</si>
  <si>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</si>
  <si>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</si>
  <si>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</si>
  <si>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</si>
  <si>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</si>
  <si>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</si>
  <si>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</si>
  <si>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</si>
  <si>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</si>
  <si>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</si>
  <si>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</si>
  <si>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</si>
  <si>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</si>
  <si>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</si>
  <si>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</si>
  <si>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</si>
  <si>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</si>
  <si>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</si>
  <si>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</si>
  <si>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</si>
  <si>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</si>
  <si>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</si>
  <si>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</si>
  <si>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</si>
  <si>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</si>
  <si>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</si>
  <si>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</si>
  <si>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</si>
  <si>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</si>
  <si>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</si>
  <si>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</si>
  <si>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</si>
  <si>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</si>
  <si>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</si>
  <si>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</si>
  <si>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</si>
  <si>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</si>
  <si>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</si>
  <si>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</si>
  <si>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</si>
  <si>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</si>
  <si>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</si>
  <si>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</si>
  <si>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</si>
  <si>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</si>
  <si>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</si>
  <si>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</si>
  <si>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</si>
  <si>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</si>
  <si>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</si>
  <si>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</si>
  <si>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</si>
  <si>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</si>
  <si>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</si>
  <si>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</si>
  <si>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</si>
  <si>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</si>
  <si>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</si>
  <si>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</si>
  <si>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</si>
  <si>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</si>
  <si>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</si>
  <si>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</si>
  <si>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</si>
  <si>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</si>
  <si>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</si>
  <si>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</si>
  <si>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</si>
  <si>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</si>
  <si>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</si>
  <si>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</si>
  <si>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</si>
  <si>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</si>
  <si>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</si>
  <si>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</si>
  <si>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</si>
  <si>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</si>
  <si>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</si>
  <si>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</si>
  <si>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</si>
  <si>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</si>
  <si>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</si>
  <si>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</si>
  <si>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</si>
  <si>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</si>
  <si>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</si>
  <si>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</si>
  <si>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</si>
  <si>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</si>
  <si>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</si>
  <si>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</si>
  <si>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</si>
  <si>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</si>
  <si>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</si>
  <si>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</si>
  <si>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</si>
  <si>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</si>
  <si>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</si>
  <si>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</si>
  <si>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</si>
  <si>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</si>
  <si>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</si>
  <si>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</si>
  <si>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</si>
  <si>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</si>
  <si>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</si>
  <si>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</si>
  <si>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</si>
  <si>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</si>
  <si>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</si>
  <si>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</si>
  <si>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</si>
  <si>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</si>
  <si>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</si>
  <si>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</si>
  <si>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</si>
  <si>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</si>
  <si>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</si>
  <si>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</si>
  <si>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</si>
  <si>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</si>
  <si>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</si>
  <si>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</si>
  <si>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</si>
  <si>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</si>
  <si>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</si>
  <si>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</si>
  <si>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</si>
  <si>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</si>
  <si>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</si>
  <si>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</si>
  <si>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</si>
  <si>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</si>
  <si>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</si>
  <si>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</si>
  <si>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</si>
  <si>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</si>
  <si>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</si>
  <si>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</si>
  <si>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</si>
  <si>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</si>
  <si>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</si>
  <si>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</si>
  <si>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</si>
  <si>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</si>
  <si>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</si>
  <si>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</si>
  <si>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</si>
  <si>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</si>
  <si>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</si>
  <si>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</si>
  <si>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</si>
  <si>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</si>
  <si>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</si>
  <si>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</si>
  <si>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</si>
  <si>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</si>
  <si>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</si>
  <si>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</si>
  <si>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</si>
  <si>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</si>
  <si>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</si>
  <si>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</si>
  <si>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</si>
  <si>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</si>
  <si>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</si>
  <si>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</si>
  <si>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</si>
  <si>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</si>
  <si>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</si>
  <si>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</si>
  <si>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</si>
  <si>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</si>
  <si>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</si>
  <si>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</si>
  <si>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</si>
  <si>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</si>
  <si>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</si>
  <si>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</si>
  <si>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</si>
  <si>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</si>
  <si>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</si>
  <si>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</si>
  <si>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</si>
  <si>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</si>
  <si>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</si>
  <si>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</si>
  <si>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</si>
  <si>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</si>
  <si>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</si>
  <si>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</si>
  <si>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</si>
  <si>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</si>
  <si>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</si>
  <si>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</si>
  <si>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</si>
  <si>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</si>
  <si>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</si>
  <si>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</si>
  <si>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</si>
  <si>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</si>
  <si>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</si>
  <si>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</si>
  <si>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</si>
  <si>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</si>
  <si>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</si>
  <si>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</si>
  <si>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</si>
  <si>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</si>
  <si>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</si>
  <si>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</si>
  <si>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</si>
  <si>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</si>
  <si>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</si>
  <si>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</si>
  <si>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</si>
  <si>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</si>
  <si>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</si>
  <si>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</si>
  <si>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</si>
  <si>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</si>
  <si>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</si>
  <si>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</si>
  <si>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</si>
  <si>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</si>
  <si>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</si>
  <si>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</si>
  <si>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</si>
  <si>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</si>
  <si>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</si>
  <si>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</si>
  <si>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</si>
  <si>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</si>
  <si>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</si>
  <si>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</si>
  <si>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</si>
  <si>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</si>
  <si>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</si>
  <si>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</si>
  <si>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</si>
  <si>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</si>
  <si>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</si>
  <si>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</si>
  <si>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</si>
  <si>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</si>
  <si>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</si>
  <si>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</si>
  <si>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</si>
  <si>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</si>
  <si>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</si>
  <si>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</si>
  <si>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</si>
  <si>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</si>
  <si>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</si>
  <si>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</si>
  <si>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</si>
  <si>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</si>
  <si>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</si>
  <si>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</si>
  <si>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</si>
  <si>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</si>
  <si>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</si>
  <si>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</si>
  <si>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</si>
  <si>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</si>
  <si>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</si>
  <si>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</si>
  <si>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</si>
  <si>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</si>
  <si>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</si>
  <si>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</si>
  <si>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</si>
  <si>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</si>
  <si>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</si>
  <si>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</si>
  <si>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</si>
  <si>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</si>
  <si>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</si>
  <si>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</si>
  <si>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</si>
  <si>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</si>
  <si>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</si>
  <si>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</si>
  <si>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</si>
  <si>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</si>
  <si>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</si>
  <si>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</si>
  <si>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</si>
  <si>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</si>
  <si>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</si>
  <si>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</si>
  <si>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</si>
  <si>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</si>
  <si>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</si>
  <si>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</si>
  <si>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</si>
  <si>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</si>
  <si>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</si>
  <si>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</si>
  <si>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</si>
  <si>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</si>
  <si>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</si>
  <si>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</si>
  <si>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</si>
  <si>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</si>
  <si>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</si>
  <si>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</si>
  <si>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</si>
  <si>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</si>
  <si>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</si>
  <si>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</si>
  <si>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</si>
  <si>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</si>
  <si>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</si>
  <si>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</si>
  <si>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</si>
  <si>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</si>
  <si>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</si>
  <si>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</si>
  <si>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</si>
  <si>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</si>
  <si>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</si>
  <si>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</si>
  <si>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</si>
  <si>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</si>
  <si>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</si>
  <si>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</si>
  <si>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</si>
  <si>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</si>
  <si>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</si>
  <si>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</si>
  <si>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</si>
  <si>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</si>
  <si>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</si>
  <si>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</si>
  <si>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</si>
  <si>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</si>
  <si>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</si>
  <si>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</si>
  <si>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</si>
  <si>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</si>
  <si>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</si>
  <si>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</si>
  <si>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</si>
  <si>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</si>
  <si>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</si>
  <si>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</si>
  <si>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</si>
  <si>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</si>
  <si>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</si>
  <si>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</si>
  <si>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</si>
  <si>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</si>
  <si>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</si>
  <si>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</si>
  <si>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</si>
  <si>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</si>
  <si>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</si>
  <si>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</si>
  <si>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</si>
  <si>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</si>
  <si>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</si>
  <si>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</si>
  <si>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</si>
  <si>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</si>
  <si>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</si>
  <si>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</si>
  <si>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</si>
  <si>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</si>
  <si>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</si>
  <si>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</si>
  <si>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</si>
  <si>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</si>
  <si>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</si>
  <si>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</si>
  <si>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</si>
  <si>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</si>
  <si>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</si>
  <si>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</si>
  <si>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</si>
  <si>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</si>
  <si>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</si>
  <si>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</si>
  <si>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</si>
  <si>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</si>
  <si>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</si>
  <si>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</si>
  <si>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</si>
  <si>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</si>
  <si>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</si>
  <si>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</si>
  <si>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</si>
  <si>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</si>
  <si>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</si>
  <si>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</si>
  <si>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</si>
  <si>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</si>
  <si>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</si>
  <si>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</si>
  <si>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</si>
  <si>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</si>
  <si>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</si>
  <si>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</si>
  <si>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</si>
  <si>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</si>
  <si>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</si>
  <si>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</si>
  <si>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</si>
  <si>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</si>
  <si>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</si>
  <si>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</si>
  <si>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</si>
  <si>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</si>
  <si>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</si>
  <si>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</si>
  <si>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</si>
  <si>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</si>
  <si>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</si>
  <si>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</si>
  <si>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</si>
  <si>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</si>
  <si>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</si>
  <si>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</si>
  <si>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</si>
  <si>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</si>
  <si>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</si>
  <si>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</si>
  <si>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</si>
  <si>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</si>
  <si>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</si>
  <si>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</si>
  <si>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</si>
  <si>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</si>
  <si>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</si>
  <si>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</si>
  <si>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</si>
  <si>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</si>
  <si>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</si>
  <si>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</si>
  <si>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</si>
  <si>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</si>
  <si>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</si>
  <si>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</si>
  <si>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</si>
  <si>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</si>
  <si>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</si>
  <si>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</si>
  <si>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</si>
  <si>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</si>
  <si>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</si>
  <si>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</si>
  <si>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</si>
  <si>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</si>
  <si>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</si>
  <si>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</si>
  <si>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</si>
  <si>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</si>
  <si>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</si>
  <si>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</si>
  <si>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</si>
  <si>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</si>
  <si>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</si>
  <si>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</si>
  <si>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</si>
  <si>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</si>
  <si>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</si>
  <si>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</si>
  <si>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</si>
  <si>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</si>
  <si>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</si>
  <si>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</si>
  <si>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</si>
  <si>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</si>
  <si>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</si>
  <si>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</si>
  <si>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</si>
  <si>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</si>
  <si>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</si>
  <si>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</si>
  <si>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</si>
  <si>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</si>
  <si>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</si>
  <si>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</si>
  <si>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</si>
  <si>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</si>
  <si>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</si>
  <si>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</si>
  <si>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</si>
  <si>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</si>
  <si>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</si>
  <si>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</si>
  <si>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</si>
  <si>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</si>
  <si>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</si>
  <si>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</si>
  <si>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</si>
  <si>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</si>
  <si>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</si>
  <si>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</si>
  <si>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</si>
  <si>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</si>
  <si>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</si>
  <si>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</si>
  <si>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</si>
  <si>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</si>
  <si>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</si>
  <si>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</si>
  <si>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</si>
  <si>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</si>
  <si>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</si>
  <si>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</si>
  <si>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</si>
  <si>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</si>
  <si>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</si>
  <si>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</si>
  <si>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</si>
  <si>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</si>
  <si>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</si>
  <si>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</si>
  <si>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</si>
  <si>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</si>
  <si>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</si>
  <si>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</si>
  <si>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</si>
  <si>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</si>
  <si>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</si>
  <si>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</si>
  <si>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</si>
  <si>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</si>
  <si>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</si>
  <si>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</si>
  <si>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</si>
  <si>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</si>
  <si>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</si>
  <si>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</si>
  <si>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</si>
  <si>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</si>
  <si>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</si>
  <si>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</si>
  <si>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</si>
  <si>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</si>
  <si>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</si>
  <si>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</si>
  <si>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</si>
  <si>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</si>
  <si>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</si>
  <si>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</si>
  <si>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</si>
  <si>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</si>
  <si>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</si>
  <si>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</si>
  <si>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</si>
  <si>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</si>
  <si>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</si>
  <si>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</si>
  <si>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</si>
  <si>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</si>
  <si>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</si>
  <si>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</si>
  <si>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</si>
  <si>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</si>
  <si>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</si>
  <si>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</si>
  <si>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</si>
  <si>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</si>
  <si>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</si>
  <si>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</si>
  <si>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</si>
  <si>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</si>
  <si>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</si>
  <si>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</si>
  <si>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</si>
  <si>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</si>
  <si>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</si>
  <si>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</si>
  <si>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</si>
  <si>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</si>
  <si>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</si>
  <si>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</si>
  <si>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</si>
  <si>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</si>
  <si>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</si>
  <si>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</si>
  <si>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</si>
  <si>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</si>
  <si>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</si>
  <si>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</si>
  <si>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</si>
  <si>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</si>
  <si>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</si>
  <si>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</si>
  <si>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</si>
  <si>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</si>
  <si>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</si>
  <si>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</si>
  <si>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</si>
  <si>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</si>
  <si>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</si>
  <si>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</si>
  <si>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</si>
  <si>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</si>
  <si>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</si>
  <si>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</si>
  <si>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</si>
  <si>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</si>
  <si>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</si>
  <si>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</si>
  <si>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</si>
  <si>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</si>
  <si>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</si>
  <si>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</si>
  <si>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</si>
  <si>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</si>
  <si>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</si>
  <si>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</si>
  <si>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</si>
  <si>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</si>
  <si>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</si>
  <si>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</si>
  <si>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</si>
  <si>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</si>
  <si>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</si>
  <si>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</si>
  <si>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</si>
  <si>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</si>
  <si>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</si>
  <si>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</si>
  <si>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</si>
  <si>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</si>
  <si>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</si>
  <si>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</si>
  <si>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</si>
  <si>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</si>
  <si>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</si>
  <si>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</si>
  <si>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</si>
  <si>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</si>
  <si>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</si>
  <si>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</si>
  <si>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</si>
  <si>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</si>
  <si>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</si>
  <si>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</si>
  <si>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</si>
  <si>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</si>
  <si>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</si>
  <si>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</si>
  <si>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</si>
  <si>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</si>
  <si>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</si>
  <si>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</si>
  <si>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</si>
  <si>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</si>
  <si>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</si>
  <si>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</si>
  <si>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</si>
  <si>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</si>
  <si>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</si>
  <si>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</si>
  <si>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</si>
  <si>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</si>
  <si>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</si>
  <si>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</si>
  <si>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</si>
  <si>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</si>
  <si>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</si>
  <si>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</si>
  <si>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</si>
  <si>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</si>
  <si>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</si>
  <si>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</si>
  <si>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</si>
  <si>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</si>
  <si>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</si>
  <si>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</si>
  <si>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</si>
  <si>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</si>
  <si>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</si>
  <si>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</si>
  <si>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</si>
  <si>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</si>
  <si>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</si>
  <si>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</si>
  <si>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</si>
  <si>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</si>
  <si>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</si>
  <si>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</si>
  <si>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</si>
  <si>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</si>
  <si>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</si>
  <si>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</si>
  <si>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</si>
  <si>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</si>
  <si>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</si>
  <si>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</si>
  <si>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</si>
  <si>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</si>
  <si>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</si>
  <si>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</si>
  <si>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</si>
  <si>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</si>
  <si>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</si>
  <si>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</si>
  <si>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</si>
  <si>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</si>
  <si>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</si>
  <si>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</si>
  <si>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</si>
  <si>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</si>
  <si>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</si>
  <si>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</si>
  <si>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</si>
  <si>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</si>
  <si>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</si>
  <si>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</si>
  <si>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</si>
  <si>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</si>
  <si>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</si>
  <si>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</si>
  <si>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</si>
  <si>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</si>
  <si>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</si>
  <si>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</si>
  <si>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</si>
  <si>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</si>
  <si>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</si>
  <si>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</si>
  <si>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</si>
  <si>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</si>
  <si>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</si>
  <si>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</si>
  <si>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</si>
  <si>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</si>
  <si>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</si>
  <si>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</si>
  <si>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</si>
  <si>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</si>
  <si>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</si>
  <si>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</si>
  <si>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</si>
  <si>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</si>
  <si>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</si>
  <si>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</si>
  <si>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</si>
  <si>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</si>
  <si>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</si>
  <si>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</si>
  <si>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</si>
  <si>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</si>
  <si>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</si>
  <si>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</si>
  <si>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</si>
  <si>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</si>
  <si>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</si>
  <si>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</si>
  <si>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</si>
  <si>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</si>
  <si>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</si>
  <si>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</si>
  <si>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</si>
  <si>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</si>
  <si>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</si>
  <si>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</si>
  <si>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</si>
  <si>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</si>
  <si>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</si>
  <si>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</si>
  <si>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</si>
  <si>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</si>
  <si>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</si>
  <si>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</si>
  <si>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</si>
  <si>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</si>
  <si>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</si>
  <si>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</si>
  <si>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</si>
  <si>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</si>
  <si>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</si>
  <si>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</si>
  <si>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</si>
  <si>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</si>
  <si>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</si>
  <si>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</si>
  <si>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</si>
  <si>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</si>
  <si>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</si>
  <si>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</si>
  <si>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</si>
  <si>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</si>
  <si>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</si>
  <si>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</si>
  <si>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</si>
  <si>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</si>
  <si>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</si>
  <si>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</si>
  <si>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</si>
  <si>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</si>
  <si>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</si>
  <si>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</si>
  <si>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</si>
  <si>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</si>
  <si>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</si>
  <si>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</si>
  <si>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</si>
  <si>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</si>
  <si>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</si>
  <si>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</si>
  <si>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</si>
  <si>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</si>
  <si>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</si>
  <si>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</si>
  <si>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</si>
  <si>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</si>
  <si>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</si>
  <si>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</si>
  <si>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</si>
  <si>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</si>
  <si>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</si>
  <si>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</si>
  <si>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</si>
  <si>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</si>
  <si>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</si>
  <si>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</si>
  <si>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</si>
  <si>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</si>
  <si>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</si>
  <si>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</si>
  <si>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</si>
  <si>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</si>
  <si>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</si>
  <si>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</si>
  <si>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</si>
  <si>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</si>
  <si>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</si>
  <si>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</si>
  <si>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</si>
  <si>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</si>
  <si>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</si>
  <si>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</si>
  <si>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</si>
  <si>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</si>
  <si>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</si>
  <si>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</si>
  <si>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</si>
  <si>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</si>
  <si>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</si>
  <si>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</si>
  <si>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</si>
  <si>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</si>
  <si>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</si>
  <si>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</si>
  <si>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</si>
  <si>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</si>
  <si>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</si>
  <si>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</si>
  <si>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</si>
  <si>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</si>
  <si>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</si>
  <si>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</si>
  <si>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</si>
  <si>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</si>
  <si>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</si>
  <si>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</si>
  <si>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</si>
  <si>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</si>
  <si>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</si>
  <si>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</si>
  <si>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</si>
  <si>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</si>
  <si>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</si>
  <si>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</si>
  <si>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</si>
  <si>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</si>
  <si>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</si>
  <si>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</si>
  <si>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</si>
  <si>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</si>
  <si>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</si>
  <si>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</si>
  <si>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</si>
  <si>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</si>
  <si>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</si>
  <si>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</si>
  <si>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</si>
  <si>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</si>
  <si>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</si>
  <si>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</si>
  <si>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</si>
  <si>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</si>
  <si>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</si>
  <si>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</si>
  <si>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</si>
  <si>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</si>
  <si>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</si>
  <si>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</si>
  <si>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</si>
  <si>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</si>
  <si>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</si>
  <si>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</si>
  <si>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</si>
  <si>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</si>
  <si>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</si>
  <si>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</si>
  <si>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</si>
  <si>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</si>
  <si>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</si>
  <si>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</si>
  <si>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</si>
  <si>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</si>
  <si>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</si>
  <si>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</si>
  <si>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</si>
  <si>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</si>
  <si>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</si>
  <si>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</si>
  <si>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</si>
  <si>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</si>
  <si>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</si>
  <si>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</si>
  <si>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</si>
  <si>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</si>
  <si>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</si>
  <si>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</si>
  <si>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</si>
  <si>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</si>
  <si>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</si>
  <si>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</si>
  <si>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</si>
  <si>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</si>
  <si>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</si>
  <si>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</si>
  <si>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</si>
  <si>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</si>
  <si>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</si>
  <si>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</si>
  <si>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</si>
  <si>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</si>
  <si>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</si>
  <si>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</si>
  <si>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</si>
  <si>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</si>
  <si>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</si>
  <si>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</si>
  <si>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</si>
  <si>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</si>
  <si>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</si>
  <si>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</si>
  <si>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</si>
  <si>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</si>
  <si>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</si>
  <si>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</si>
  <si>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</si>
  <si>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</si>
  <si>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</si>
  <si>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</si>
  <si>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</si>
  <si>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</si>
  <si>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</si>
  <si>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</si>
  <si>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</si>
  <si>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</si>
  <si>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</si>
  <si>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</si>
  <si>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</si>
  <si>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</si>
  <si>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</si>
  <si>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</si>
  <si>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</si>
  <si>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</si>
  <si>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</si>
  <si>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</si>
  <si>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</si>
  <si>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</si>
  <si>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</si>
  <si>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</si>
  <si>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</si>
  <si>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</si>
  <si>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</si>
  <si>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</si>
  <si>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</si>
  <si>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</si>
  <si>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</si>
  <si>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</si>
  <si>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</si>
  <si>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</si>
  <si>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</si>
  <si>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</si>
  <si>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</si>
  <si>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</si>
  <si>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</si>
  <si>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</si>
  <si>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</si>
  <si>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</si>
  <si>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</si>
  <si>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</si>
  <si>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</si>
  <si>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</si>
  <si>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</si>
  <si>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</si>
  <si>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</si>
  <si>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</si>
  <si>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</si>
  <si>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</si>
  <si>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</si>
  <si>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</si>
  <si>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</si>
  <si>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</si>
  <si>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</si>
  <si>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</si>
  <si>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</si>
  <si>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</si>
  <si>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</si>
  <si>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</si>
  <si>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</si>
  <si>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</si>
  <si>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</si>
  <si>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</si>
  <si>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</si>
  <si>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</si>
  <si>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</si>
  <si>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</si>
  <si>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</si>
  <si>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</si>
  <si>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</si>
  <si>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</si>
  <si>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</si>
  <si>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</si>
  <si>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</si>
  <si>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</si>
  <si>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</si>
  <si>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</si>
  <si>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</si>
  <si>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</si>
  <si>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</si>
  <si>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</si>
  <si>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</si>
  <si>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</si>
  <si>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</si>
  <si>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</si>
  <si>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</si>
  <si>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</si>
  <si>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</si>
  <si>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</si>
  <si>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</si>
  <si>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</si>
  <si>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</si>
  <si>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</si>
  <si>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</si>
  <si>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</si>
  <si>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</si>
  <si>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</si>
  <si>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</si>
  <si>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</si>
  <si>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</si>
  <si>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</si>
  <si>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</si>
  <si>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</si>
  <si>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</si>
  <si>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</si>
  <si>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</si>
  <si>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</si>
  <si>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</si>
  <si>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</si>
  <si>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</si>
  <si>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</si>
  <si>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</si>
  <si>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</si>
  <si>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</si>
  <si>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</si>
  <si>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</si>
  <si>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</si>
  <si>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</si>
  <si>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</si>
  <si>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</si>
  <si>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</si>
  <si>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</si>
  <si>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</si>
  <si>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</si>
  <si>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</si>
  <si>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</si>
  <si>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</si>
  <si>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</si>
  <si>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</si>
  <si>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</si>
  <si>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</si>
  <si>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</si>
  <si>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</si>
  <si>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</si>
  <si>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</si>
  <si>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</si>
  <si>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</si>
  <si>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</si>
  <si>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</si>
  <si>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</si>
  <si>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</si>
  <si>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</si>
  <si>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</si>
  <si>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</si>
  <si>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</si>
  <si>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</si>
  <si>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</si>
  <si>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</si>
  <si>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</si>
  <si>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</si>
  <si>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</si>
  <si>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</si>
  <si>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</si>
  <si>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</si>
  <si>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</si>
  <si>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</si>
  <si>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</si>
  <si>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</si>
  <si>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</si>
  <si>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</si>
  <si>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</si>
  <si>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</si>
  <si>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</si>
  <si>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</si>
  <si>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</si>
  <si>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</si>
  <si>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</si>
  <si>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</si>
  <si>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</si>
  <si>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</si>
  <si>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</si>
  <si>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</si>
  <si>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</si>
  <si>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</si>
  <si>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</si>
  <si>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</si>
  <si>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</si>
  <si>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</si>
  <si>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</si>
  <si>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</si>
  <si>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</si>
  <si>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</si>
  <si>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</si>
  <si>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</si>
  <si>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</si>
  <si>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</si>
  <si>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</si>
  <si>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</si>
  <si>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</si>
  <si>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</si>
  <si>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</si>
  <si>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</si>
  <si>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</si>
  <si>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</si>
  <si>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</si>
  <si>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</si>
  <si>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</si>
  <si>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</si>
  <si>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</si>
  <si>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</si>
  <si>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</si>
  <si>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</si>
  <si>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</si>
  <si>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</si>
  <si>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</si>
  <si>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</si>
  <si>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</si>
  <si>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</si>
  <si>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</si>
  <si>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</si>
  <si>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</si>
  <si>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</si>
  <si>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</si>
  <si>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</si>
  <si>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</si>
  <si>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</si>
  <si>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</si>
  <si>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</si>
  <si>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</si>
  <si>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</si>
  <si>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</si>
  <si>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</si>
  <si>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</si>
  <si>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</si>
  <si>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</si>
  <si>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</si>
  <si>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</si>
  <si>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</si>
  <si>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</si>
  <si>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</si>
  <si>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</si>
  <si>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</si>
  <si>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</si>
  <si>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</si>
  <si>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</si>
  <si>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</si>
  <si>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</si>
  <si>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</si>
  <si>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</si>
  <si>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</si>
  <si>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</si>
  <si>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</si>
  <si>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</si>
  <si>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</si>
  <si>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</si>
  <si>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</si>
  <si>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</si>
  <si>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</si>
  <si>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</si>
  <si>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</si>
  <si>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</si>
  <si>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</si>
  <si>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</si>
  <si>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</si>
  <si>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</si>
  <si>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</si>
  <si>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</si>
  <si>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</si>
  <si>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</si>
  <si>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</si>
  <si>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</si>
  <si>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</si>
  <si>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</si>
  <si>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</si>
  <si>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</si>
  <si>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</si>
  <si>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</si>
  <si>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</si>
  <si>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</si>
  <si>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</si>
  <si>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</si>
  <si>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</si>
  <si>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</si>
  <si>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</si>
  <si>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</si>
  <si>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</si>
  <si>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</si>
  <si>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</si>
  <si>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</si>
  <si>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</si>
  <si>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</si>
  <si>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</si>
  <si>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</si>
  <si>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</si>
  <si>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</si>
  <si>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</si>
  <si>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</si>
  <si>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</si>
  <si>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</si>
  <si>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</si>
  <si>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</si>
  <si>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</si>
  <si>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</si>
  <si>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</si>
  <si>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</si>
  <si>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</si>
  <si>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</si>
  <si>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</si>
  <si>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</si>
  <si>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</si>
  <si>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</si>
  <si>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</si>
  <si>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</si>
  <si>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</si>
  <si>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</si>
  <si>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</si>
  <si>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</si>
  <si>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</si>
  <si>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</si>
  <si>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</si>
  <si>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</si>
  <si>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</si>
  <si>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</si>
  <si>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</si>
  <si>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</si>
  <si>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</si>
  <si>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</si>
  <si>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</si>
  <si>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</si>
  <si>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</si>
  <si>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</si>
  <si>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</si>
  <si>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</si>
  <si>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</si>
  <si>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</si>
  <si>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</si>
  <si>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</si>
  <si>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</si>
  <si>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</si>
  <si>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</si>
  <si>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</si>
  <si>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</si>
  <si>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</si>
  <si>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</si>
  <si>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</si>
  <si>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</si>
  <si>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</si>
  <si>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</si>
  <si>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</si>
  <si>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</si>
  <si>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</si>
  <si>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</si>
  <si>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</si>
  <si>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</si>
  <si>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</si>
  <si>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</si>
  <si>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</si>
  <si>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</si>
  <si>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</si>
  <si>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</si>
  <si>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</si>
  <si>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</si>
  <si>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</si>
  <si>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</si>
  <si>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</si>
  <si>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</si>
  <si>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</si>
  <si>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</si>
  <si>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</si>
  <si>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</si>
  <si>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</si>
  <si>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</si>
  <si>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</si>
  <si>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</si>
  <si>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</si>
  <si>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</si>
  <si>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</si>
  <si>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</si>
  <si>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</si>
  <si>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</si>
  <si>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</si>
  <si>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</si>
  <si>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</si>
  <si>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</si>
  <si>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</si>
  <si>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</si>
  <si>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</si>
  <si>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</si>
  <si>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</si>
  <si>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</si>
  <si>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</si>
  <si>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</si>
  <si>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</si>
  <si>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</si>
  <si>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</si>
  <si>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</si>
  <si>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</si>
  <si>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</si>
  <si>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</si>
  <si>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</si>
  <si>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</si>
  <si>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</si>
  <si>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</si>
  <si>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</si>
  <si>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</si>
  <si>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</si>
  <si>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</si>
  <si>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</si>
  <si>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</si>
  <si>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</si>
  <si>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</si>
  <si>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</si>
  <si>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</si>
  <si>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</si>
  <si>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</si>
  <si>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</si>
  <si>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</si>
  <si>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</si>
  <si>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</si>
  <si>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</si>
  <si>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</si>
  <si>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</si>
  <si>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</si>
  <si>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</si>
  <si>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</si>
  <si>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</si>
  <si>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</si>
  <si>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</si>
  <si>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</si>
  <si>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</si>
  <si>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</si>
  <si>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</si>
  <si>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</si>
  <si>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</si>
  <si>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</si>
  <si>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</si>
  <si>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</si>
  <si>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</si>
  <si>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</si>
  <si>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</si>
  <si>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</si>
  <si>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</si>
  <si>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</si>
  <si>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</si>
  <si>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</si>
  <si>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</si>
  <si>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</si>
  <si>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</si>
  <si>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</si>
  <si>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</si>
  <si>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</si>
  <si>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</si>
  <si>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</si>
  <si>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</si>
  <si>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</si>
  <si>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</si>
  <si>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</si>
  <si>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</si>
  <si>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</si>
  <si>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</si>
  <si>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</si>
  <si>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</si>
  <si>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</si>
  <si>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</si>
  <si>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</si>
  <si>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</si>
  <si>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</si>
  <si>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</si>
  <si>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</si>
  <si>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</si>
  <si>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</si>
  <si>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</si>
  <si>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</si>
  <si>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</si>
  <si>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</si>
  <si>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</si>
  <si>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</si>
  <si>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</si>
  <si>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</si>
  <si>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</si>
  <si>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</si>
  <si>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</si>
  <si>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</si>
  <si>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</si>
  <si>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</si>
  <si>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</si>
  <si>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</si>
  <si>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</si>
  <si>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</si>
  <si>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</si>
  <si>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</si>
  <si>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</si>
  <si>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</si>
  <si>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</si>
  <si>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</si>
  <si>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</si>
  <si>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</si>
  <si>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</si>
  <si>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</si>
  <si>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</si>
  <si>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</si>
  <si>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</si>
  <si>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</si>
  <si>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</si>
  <si>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</si>
  <si>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</si>
  <si>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</si>
  <si>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</si>
  <si>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</si>
  <si>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</si>
  <si>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</si>
  <si>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</si>
  <si>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</si>
  <si>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</si>
  <si>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</si>
  <si>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</si>
  <si>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</si>
  <si>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</si>
  <si>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LAKE</t>
  </si>
  <si>
    <t>517 Deerfield Road</t>
  </si>
  <si>
    <t xml:space="preserve">Deerfield  </t>
  </si>
  <si>
    <t>847-945-1844</t>
  </si>
  <si>
    <t>847-945-1892</t>
  </si>
  <si>
    <t>Evoy, Kamschulte, Jacobs &amp; Co. LLP</t>
  </si>
  <si>
    <t>John D. Aceto, Jr., CPA</t>
  </si>
  <si>
    <t>2122 Yeoman Street</t>
  </si>
  <si>
    <t>Waukegan</t>
  </si>
  <si>
    <t>IL</t>
  </si>
  <si>
    <t>847-662-8300</t>
  </si>
  <si>
    <t>847-662-8305</t>
  </si>
  <si>
    <t>066-003289</t>
  </si>
  <si>
    <t>jaceto@ekjllp.com</t>
  </si>
  <si>
    <t>2010 Debt Certificate</t>
  </si>
  <si>
    <t>2013 General Obligation Limited School Bonds</t>
  </si>
  <si>
    <t>2015 General Obligation Limited School Bonds</t>
  </si>
  <si>
    <t>2/4</t>
  </si>
  <si>
    <t>1/2</t>
  </si>
  <si>
    <t>Debt Certficates</t>
  </si>
  <si>
    <t>2019 General Obligation Limited School Bonds</t>
  </si>
  <si>
    <t>1999B Limited Tax School Bonds</t>
  </si>
  <si>
    <t>CBA's</t>
  </si>
  <si>
    <t>Member of EC Benefit Coop (100+Sch Dist) for health/disability coverage</t>
  </si>
  <si>
    <t>Member of IUPC shared purchase of electric &amp; natural gas</t>
  </si>
  <si>
    <t>Member of ESIC for liability, property, casualty ins.</t>
  </si>
  <si>
    <t>IIT, PMA, ISDLAF Investment pool, joint banking services D113</t>
  </si>
  <si>
    <t>North Suburban Special Education District (NSSED)</t>
  </si>
  <si>
    <t>Shared paper purchasing bid D113, 112, 106</t>
  </si>
  <si>
    <t>Page 11, Line 107, Other Revenue: Jury Duty $17, Vending Machine Revenue $44; Stuart &amp; Rodgers $3,000; BNY Mellon excess funds</t>
  </si>
  <si>
    <t xml:space="preserve">      $1,263; RBC Rebate wellness program $15,845</t>
  </si>
  <si>
    <t>Bond &amp; Interest Fund</t>
  </si>
  <si>
    <t>Page 18, Line 171, Debt Service Other Objects, Bond Redemption Fees - $12,420</t>
  </si>
  <si>
    <t>Capital Projects Fund</t>
  </si>
  <si>
    <t>Page 9, Line 17, Other Payments in Lieu of Taxes - TIF Receipts $31,764</t>
  </si>
  <si>
    <t xml:space="preserve">Page 8, Line 75, Other Uses Not Classified Elsewhere - Transfer to refunding bond escrow agent $2,788,680; Discount on bonds sold </t>
  </si>
  <si>
    <t xml:space="preserve">    $58,300; Cost of issuance $68,020.</t>
  </si>
  <si>
    <t>US DEPARMENT OF AGRICULTURE</t>
  </si>
  <si>
    <t>Passed Through ISBE</t>
  </si>
  <si>
    <t xml:space="preserve">      Special Milk Program</t>
  </si>
  <si>
    <t>4215-2020</t>
  </si>
  <si>
    <t>N/A</t>
  </si>
  <si>
    <t>US DEPARMENT OF EDUCATION</t>
  </si>
  <si>
    <t>(M) IDEA, Part B - Preschool</t>
  </si>
  <si>
    <t>84.173A</t>
  </si>
  <si>
    <t>4600-2020</t>
  </si>
  <si>
    <t>(M) IDEA, Part B - Flow-Through</t>
  </si>
  <si>
    <t>84.027A</t>
  </si>
  <si>
    <t>4620-2020</t>
  </si>
  <si>
    <t>4625-2020</t>
  </si>
  <si>
    <t>4625-2019</t>
  </si>
  <si>
    <t>Total Passed Through ISBE</t>
  </si>
  <si>
    <t>US DEPARTMENT OF EDUCATION CONTINUED</t>
  </si>
  <si>
    <t>Passed Through ISBE Continued</t>
  </si>
  <si>
    <t xml:space="preserve">      Title I - Low Income</t>
  </si>
  <si>
    <t>84.010A</t>
  </si>
  <si>
    <t>4300-2020</t>
  </si>
  <si>
    <t xml:space="preserve">      Title II - Teacher Quality</t>
  </si>
  <si>
    <t>84.367A</t>
  </si>
  <si>
    <t>4932-2020</t>
  </si>
  <si>
    <t>TOTAL US DEPARTMENT OF EDUCATION</t>
  </si>
  <si>
    <t>TOTAL FEDERAL FINANCIAL ASSISTANCE</t>
  </si>
  <si>
    <t>Amount Provided to Subrecipients - There were no amounts provided to subrecipients</t>
  </si>
  <si>
    <t>Federal Insurance in effect during the year</t>
  </si>
  <si>
    <t>Federal Loans of Loan Guarantees, Including Interest Subsidies Outstanding at Year End</t>
  </si>
  <si>
    <t>Value of Federal Awards Expended in the form of Non Cash Assistance during the year</t>
  </si>
  <si>
    <t>4290-2020</t>
  </si>
  <si>
    <r>
      <t>The accompanying Schedule of Expenditures of Federal Awards includes the federal grant activity of Deerfield Public SD 109 and is presented on the Accrual</t>
    </r>
    <r>
      <rPr>
        <b/>
        <sz val="9"/>
        <rFont val="Calibri"/>
        <family val="2"/>
        <scheme val="minor"/>
      </rPr>
      <t xml:space="preserve">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</si>
  <si>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Of the federal expenditures presented in the schedule, Deerfield Public SD 109 provided federal awards to subrecipients as follows:</t>
  </si>
  <si>
    <t>None</t>
  </si>
  <si>
    <t>Unmodified</t>
  </si>
  <si>
    <t>IDEA, Preschool</t>
  </si>
  <si>
    <t>IDEA, Flow-Through</t>
  </si>
  <si>
    <t>IDEA, Room &amp; Board</t>
  </si>
  <si>
    <t>Child Nutrition Cluster Passed Through ISBE</t>
  </si>
  <si>
    <t>TOTAL US DEPARTMENT OF AGRICULTURE Child Nutrition Cluster</t>
  </si>
  <si>
    <t>Special Education Cluster Passed Through NSSED</t>
  </si>
  <si>
    <t>Special Education Cluster Total Passed Through NSSED</t>
  </si>
  <si>
    <t>Special Education Cluster Total IDEA Passed Through ISBE</t>
  </si>
  <si>
    <t>(M) IDEA, Room &amp; Board</t>
  </si>
  <si>
    <t>Page 12, Line 168, Other Restricted Revenue from State Sources - Library Grant $2,125; Capital Grant $50,000.</t>
  </si>
  <si>
    <t>ED-Support Services Central</t>
  </si>
  <si>
    <t>Net56</t>
  </si>
  <si>
    <t>ED-Education</t>
  </si>
  <si>
    <t>Leaf</t>
  </si>
  <si>
    <t>ED-General Administration</t>
  </si>
  <si>
    <t>ECRA Group</t>
  </si>
  <si>
    <t>OM-Operations &amp; Maintence Plant Services</t>
  </si>
  <si>
    <t>Green Assoc</t>
  </si>
  <si>
    <t>TR-Pupil Transportation Services</t>
  </si>
  <si>
    <t>Olson Transportation</t>
  </si>
  <si>
    <t>Harvard</t>
  </si>
  <si>
    <t>Total Special Education Cluster</t>
  </si>
  <si>
    <t xml:space="preserve">      CARES Funding Emergency Relief</t>
  </si>
  <si>
    <t>84.425D</t>
  </si>
  <si>
    <t>4998-ER-2020</t>
  </si>
  <si>
    <r>
      <t xml:space="preserve">The following amounts were expended in the form of non-cash assistance by Deerfield Public SD 109 and </t>
    </r>
    <r>
      <rPr>
        <b/>
        <sz val="9"/>
        <rFont val="Calibri"/>
        <family val="2"/>
        <scheme val="minor"/>
      </rPr>
      <t>should be</t>
    </r>
    <r>
      <rPr>
        <sz val="9"/>
        <rFont val="Calibri"/>
        <family val="2"/>
        <scheme val="minor"/>
      </rPr>
      <t xml:space="preserve"> included in the Schedule of Expenditures of Federal Awards:</t>
    </r>
  </si>
  <si>
    <t xml:space="preserve">   Deerfield SD 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</si>
</sst>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 fontId="55" fillId="0" borderId="2" xfId="9" quotePrefix="1" applyNumberFormat="1" applyFont="1" applyFill="1" applyBorder="1" applyAlignment="1" applyProtection="1">
      <alignment horizontal="right" vertical="center" shrinkToFit="1"/>
      <protection locked="0"/>
    </xf>
    <xf numFmtId="0" fontId="75" fillId="0" borderId="0" xfId="0"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857250</xdr:colOff>
          <xdr:row>4</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8" t="s">
        <v>402</v>
      </c>
      <c r="J1" s="2119"/>
      <c r="K1" s="2119"/>
      <c r="L1" s="2119"/>
      <c r="M1" s="2119"/>
      <c r="N1" s="2119"/>
      <c r="O1" s="2119"/>
      <c r="P1" s="2119"/>
      <c r="Q1" s="2119"/>
      <c r="R1" s="2119"/>
      <c r="S1" s="2119"/>
    </row>
    <row r="2" spans="1:32" ht="12" customHeight="1" x14ac:dyDescent="0.2">
      <c r="A2" s="1831" t="str">
        <f>"Due to ISBE on "</f>
        <v xml:space="preserve">Due to ISBE on </v>
      </c>
      <c r="B2" s="2041">
        <f>+'AFR20'!F4</f>
        <v>44151</v>
      </c>
      <c r="C2" s="2041"/>
      <c r="D2" s="2042"/>
      <c r="I2" s="2120" t="s">
        <v>2000</v>
      </c>
      <c r="J2" s="2119"/>
      <c r="K2" s="2119"/>
      <c r="L2" s="2119"/>
      <c r="M2" s="2119"/>
      <c r="N2" s="2119"/>
      <c r="O2" s="2119"/>
      <c r="P2" s="2119"/>
      <c r="Q2" s="2119"/>
      <c r="R2" s="2119"/>
      <c r="S2" s="2119"/>
    </row>
    <row r="3" spans="1:32" ht="12" customHeight="1" x14ac:dyDescent="0.2">
      <c r="A3" s="1834" t="str">
        <f>"SD/JA"&amp;MID('AFR20'!E2,3,2)</f>
        <v>SD/JA20</v>
      </c>
      <c r="B3" s="151"/>
      <c r="C3" s="151"/>
      <c r="D3" s="152"/>
      <c r="I3" s="2120" t="s">
        <v>52</v>
      </c>
      <c r="J3" s="2119"/>
      <c r="K3" s="2119"/>
      <c r="L3" s="2119"/>
      <c r="M3" s="2119"/>
      <c r="N3" s="2119"/>
      <c r="O3" s="2119"/>
      <c r="P3" s="2119"/>
      <c r="Q3" s="2119"/>
      <c r="R3" s="2119"/>
      <c r="S3" s="2119"/>
    </row>
    <row r="4" spans="1:32" ht="12" customHeight="1" x14ac:dyDescent="0.2">
      <c r="A4" s="37"/>
      <c r="I4" s="2120" t="s">
        <v>521</v>
      </c>
      <c r="J4" s="2119"/>
      <c r="K4" s="2119"/>
      <c r="L4" s="2119"/>
      <c r="M4" s="2119"/>
      <c r="N4" s="2119"/>
      <c r="O4" s="2119"/>
      <c r="P4" s="2119"/>
      <c r="Q4" s="2119"/>
      <c r="R4" s="2119"/>
      <c r="S4" s="2119"/>
    </row>
    <row r="5" spans="1:32" ht="14.1" customHeight="1" x14ac:dyDescent="0.2">
      <c r="B5" s="101" t="s">
        <v>2048</v>
      </c>
      <c r="C5" s="26" t="s">
        <v>904</v>
      </c>
      <c r="D5" s="81"/>
      <c r="E5" s="81"/>
      <c r="H5" s="38"/>
      <c r="I5" s="2127" t="s">
        <v>675</v>
      </c>
      <c r="J5" s="2072"/>
      <c r="K5" s="2072"/>
      <c r="L5" s="2072"/>
      <c r="M5" s="2072"/>
      <c r="N5" s="2072"/>
      <c r="O5" s="2072"/>
      <c r="P5" s="2072"/>
      <c r="Q5" s="2072"/>
      <c r="R5" s="2072"/>
      <c r="S5" s="2072"/>
      <c r="AF5" s="1827"/>
    </row>
    <row r="6" spans="1:32" ht="14.1" customHeight="1" x14ac:dyDescent="0.2">
      <c r="B6" s="101"/>
      <c r="C6" s="26" t="s">
        <v>905</v>
      </c>
      <c r="D6" s="81"/>
      <c r="E6" s="81"/>
      <c r="I6" s="2126" t="s">
        <v>877</v>
      </c>
      <c r="J6" s="2072"/>
      <c r="K6" s="2072"/>
      <c r="L6" s="2072"/>
      <c r="M6" s="2072"/>
      <c r="N6" s="2072"/>
      <c r="O6" s="2072"/>
      <c r="P6" s="2072"/>
      <c r="Q6" s="2072"/>
      <c r="R6" s="2072"/>
      <c r="S6" s="2072"/>
    </row>
    <row r="7" spans="1:32" ht="12.2" customHeight="1" x14ac:dyDescent="0.2">
      <c r="I7" s="2121" t="str">
        <f>"June 30, "&amp;'AFR20'!E2</f>
        <v>June 30, 2020</v>
      </c>
      <c r="J7" s="2122"/>
      <c r="K7" s="2122"/>
      <c r="L7" s="2122"/>
      <c r="M7" s="2122"/>
      <c r="N7" s="2122"/>
      <c r="O7" s="2122"/>
      <c r="P7" s="2122"/>
      <c r="Q7" s="2122"/>
      <c r="R7" s="2122"/>
      <c r="S7" s="212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3" t="s">
        <v>669</v>
      </c>
      <c r="J9" s="2124"/>
      <c r="K9" s="2124"/>
      <c r="L9" s="2124"/>
      <c r="M9" s="2124"/>
      <c r="N9" s="2124"/>
      <c r="O9" s="2124"/>
      <c r="P9" s="2124"/>
      <c r="Q9" s="2124"/>
      <c r="R9" s="2124"/>
      <c r="S9" s="2125"/>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088">
        <v>34049109002</v>
      </c>
      <c r="B13" s="2089"/>
      <c r="C13" s="2089"/>
      <c r="D13" s="2089"/>
      <c r="E13" s="2089"/>
      <c r="F13" s="2089"/>
      <c r="G13" s="2089"/>
      <c r="H13" s="2090"/>
      <c r="I13" s="31"/>
      <c r="J13" s="30"/>
      <c r="K13" s="28"/>
      <c r="L13" s="30"/>
      <c r="M13" s="30"/>
      <c r="N13" s="30"/>
      <c r="O13" s="30"/>
      <c r="P13" s="30"/>
      <c r="Q13" s="30"/>
      <c r="R13" s="30"/>
      <c r="S13" s="30"/>
      <c r="T13" s="2093" t="s">
        <v>2054</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2049</v>
      </c>
      <c r="B15" s="2091"/>
      <c r="C15" s="2091"/>
      <c r="D15" s="2091"/>
      <c r="E15" s="2091"/>
      <c r="F15" s="2091"/>
      <c r="G15" s="2091"/>
      <c r="H15" s="2092"/>
      <c r="T15" s="2054" t="s">
        <v>2055</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6" t="s">
        <v>2146</v>
      </c>
      <c r="B17" s="2116"/>
      <c r="C17" s="2116"/>
      <c r="D17" s="2116"/>
      <c r="E17" s="2116"/>
      <c r="F17" s="2116"/>
      <c r="G17" s="2116"/>
      <c r="H17" s="2117"/>
      <c r="T17" s="2103" t="s">
        <v>2056</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2050</v>
      </c>
      <c r="B19" s="2087"/>
      <c r="C19" s="2087"/>
      <c r="D19" s="2087"/>
      <c r="E19" s="2087"/>
      <c r="F19" s="2087"/>
      <c r="G19" s="2087"/>
      <c r="H19" s="2085"/>
      <c r="I19" s="30"/>
      <c r="J19" s="96"/>
      <c r="K19" s="40"/>
      <c r="L19" s="38"/>
      <c r="M19" s="109" t="s">
        <v>312</v>
      </c>
      <c r="P19" s="27"/>
      <c r="Q19" s="27"/>
      <c r="R19" s="27"/>
      <c r="S19" s="31"/>
      <c r="T19" s="2086" t="s">
        <v>2057</v>
      </c>
      <c r="U19" s="2084"/>
      <c r="V19" s="2084"/>
      <c r="W19" s="2085"/>
      <c r="X19" s="2101" t="s">
        <v>2058</v>
      </c>
      <c r="Y19" s="2102"/>
      <c r="Z19" s="2099">
        <v>60087</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2051</v>
      </c>
      <c r="B21" s="2084"/>
      <c r="C21" s="2084"/>
      <c r="D21" s="2084"/>
      <c r="E21" s="2084"/>
      <c r="F21" s="2084"/>
      <c r="G21" s="2084"/>
      <c r="H21" s="2085"/>
      <c r="I21" s="2109" t="s">
        <v>673</v>
      </c>
      <c r="J21" s="2072"/>
      <c r="K21" s="2072"/>
      <c r="L21" s="2072"/>
      <c r="M21" s="2072"/>
      <c r="N21" s="2072"/>
      <c r="O21" s="2072"/>
      <c r="P21" s="2072"/>
      <c r="Q21" s="2072"/>
      <c r="R21" s="2072"/>
      <c r="S21" s="2073"/>
      <c r="T21" s="2051" t="s">
        <v>2059</v>
      </c>
      <c r="U21" s="2052"/>
      <c r="V21" s="2052"/>
      <c r="W21" s="2052"/>
      <c r="X21" s="2065" t="s">
        <v>2060</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t="s">
        <v>2061</v>
      </c>
      <c r="U23" s="2047"/>
      <c r="V23" s="2047"/>
      <c r="W23" s="2047"/>
      <c r="X23" s="2062">
        <v>44530</v>
      </c>
      <c r="Y23" s="2063"/>
      <c r="Z23" s="2063"/>
      <c r="AA23" s="2064"/>
    </row>
    <row r="24" spans="1:27" ht="14.1" customHeight="1" x14ac:dyDescent="0.2">
      <c r="A24" s="85" t="s">
        <v>672</v>
      </c>
      <c r="B24" s="46"/>
      <c r="C24" s="46"/>
      <c r="D24" s="46"/>
      <c r="E24" s="46"/>
      <c r="F24" s="46"/>
      <c r="G24" s="46"/>
      <c r="H24" s="58"/>
      <c r="J24" s="2148">
        <f>IF(B5="x",IF(AUDITCHECK!D29="AFR form Incomplete.","",IF(AUDITCHECK!D29="Deficit reduction plan is required.","School District must complete a deficit reduction plan in the 2020-2021 Budget",)),"")</f>
        <v>0</v>
      </c>
      <c r="K24" s="2148"/>
      <c r="L24" s="2148"/>
      <c r="M24" s="2148"/>
      <c r="N24" s="2148"/>
      <c r="O24" s="2148"/>
      <c r="P24" s="2148"/>
      <c r="Q24" s="2148"/>
      <c r="R24" s="2148"/>
      <c r="S24" s="2149"/>
      <c r="T24" s="102" t="s">
        <v>528</v>
      </c>
      <c r="U24" s="103"/>
      <c r="V24" s="103"/>
      <c r="W24" s="103"/>
      <c r="X24" s="104"/>
      <c r="Y24" s="104"/>
      <c r="Z24" s="104"/>
      <c r="AA24" s="105"/>
    </row>
    <row r="25" spans="1:27" ht="14.1" customHeight="1" x14ac:dyDescent="0.2">
      <c r="A25" s="2083">
        <v>60015</v>
      </c>
      <c r="B25" s="2084"/>
      <c r="C25" s="2084"/>
      <c r="D25" s="2084"/>
      <c r="E25" s="2084"/>
      <c r="F25" s="2084"/>
      <c r="G25" s="2084"/>
      <c r="H25" s="2085"/>
      <c r="I25" s="110"/>
      <c r="J25" s="2150"/>
      <c r="K25" s="2150"/>
      <c r="L25" s="2150"/>
      <c r="M25" s="2150"/>
      <c r="N25" s="2150"/>
      <c r="O25" s="2150"/>
      <c r="P25" s="2150"/>
      <c r="Q25" s="2150"/>
      <c r="R25" s="2150"/>
      <c r="S25" s="2151"/>
      <c r="T25" s="2043" t="s">
        <v>2062</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1"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6"/>
      <c r="B38" s="2116"/>
      <c r="C38" s="2116"/>
      <c r="D38" s="2116"/>
      <c r="E38" s="2116"/>
      <c r="F38" s="2084"/>
      <c r="G38" s="2084"/>
      <c r="H38" s="2085"/>
      <c r="I38" s="2135"/>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39" t="s">
        <v>528</v>
      </c>
      <c r="B39" s="2140"/>
      <c r="C39" s="69"/>
      <c r="D39" s="66"/>
      <c r="E39" s="66"/>
      <c r="F39" s="76"/>
      <c r="G39" s="66"/>
      <c r="H39" s="53"/>
      <c r="I39" s="2139" t="s">
        <v>528</v>
      </c>
      <c r="J39" s="2140"/>
      <c r="K39" s="2140"/>
      <c r="L39" s="2140"/>
      <c r="M39" s="2140"/>
      <c r="N39" s="64"/>
      <c r="O39" s="69"/>
      <c r="P39" s="69"/>
      <c r="Q39" s="75"/>
      <c r="R39" s="69"/>
      <c r="S39" s="53"/>
      <c r="T39" s="69" t="s">
        <v>528</v>
      </c>
      <c r="U39" s="48"/>
      <c r="V39" s="69"/>
      <c r="W39" s="47"/>
      <c r="X39" s="75"/>
      <c r="Y39" s="43"/>
      <c r="Z39" s="43"/>
      <c r="AA39" s="44"/>
    </row>
    <row r="40" spans="1:27" ht="13.5" customHeight="1" x14ac:dyDescent="0.2">
      <c r="A40" s="2142"/>
      <c r="B40" s="2143"/>
      <c r="C40" s="2144"/>
      <c r="D40" s="2144"/>
      <c r="E40" s="2144"/>
      <c r="F40" s="2145"/>
      <c r="G40" s="2145"/>
      <c r="H40" s="2146"/>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2" t="s">
        <v>2052</v>
      </c>
      <c r="B42" s="2133"/>
      <c r="C42" s="2134"/>
      <c r="D42" s="2147" t="s">
        <v>2053</v>
      </c>
      <c r="E42" s="2133"/>
      <c r="F42" s="2133"/>
      <c r="G42" s="2133"/>
      <c r="H42" s="2134"/>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6"/>
      <c r="B44" s="2137"/>
      <c r="C44" s="2137"/>
      <c r="D44" s="2137"/>
      <c r="E44" s="2137"/>
      <c r="F44" s="2137"/>
      <c r="G44" s="2137"/>
      <c r="H44" s="2138"/>
      <c r="I44" s="2128"/>
      <c r="J44" s="2130"/>
      <c r="K44" s="2130"/>
      <c r="L44" s="2130"/>
      <c r="M44" s="2130"/>
      <c r="N44" s="2130"/>
      <c r="O44" s="2130"/>
      <c r="P44" s="2130"/>
      <c r="Q44" s="2130"/>
      <c r="R44" s="2130"/>
      <c r="S44" s="2131"/>
      <c r="T44" s="2128"/>
      <c r="U44" s="2129"/>
      <c r="V44" s="2129"/>
      <c r="W44" s="2129"/>
      <c r="X44" s="2129"/>
      <c r="Y44" s="2129"/>
      <c r="Z44" s="2130"/>
      <c r="AA44" s="213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5" sqref="E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43855065</v>
      </c>
      <c r="C4" s="1722"/>
      <c r="D4" s="1723">
        <f>B4-C4</f>
        <v>43855065</v>
      </c>
      <c r="E4" s="1722">
        <v>44798617</v>
      </c>
      <c r="F4" s="1723">
        <f>E4-C4</f>
        <v>44798617</v>
      </c>
    </row>
    <row r="5" spans="1:8" ht="13.7" customHeight="1" x14ac:dyDescent="0.2">
      <c r="A5" s="579" t="s">
        <v>865</v>
      </c>
      <c r="B5" s="1724">
        <f>'Revenues 9-14'!D5</f>
        <v>5486263</v>
      </c>
      <c r="C5" s="1664"/>
      <c r="D5" s="1725">
        <f t="shared" ref="D5:D18" si="0">B5-C5</f>
        <v>5486263</v>
      </c>
      <c r="E5" s="1664">
        <v>5731532</v>
      </c>
      <c r="F5" s="1725">
        <f>E5-C5</f>
        <v>5731532</v>
      </c>
    </row>
    <row r="6" spans="1:8" ht="13.7" customHeight="1" x14ac:dyDescent="0.2">
      <c r="A6" s="579" t="s">
        <v>408</v>
      </c>
      <c r="B6" s="1724">
        <f>'Revenues 9-14'!E5</f>
        <v>6546</v>
      </c>
      <c r="C6" s="1664"/>
      <c r="D6" s="1725">
        <f t="shared" si="0"/>
        <v>6546</v>
      </c>
      <c r="E6" s="1664"/>
      <c r="F6" s="1725">
        <f t="shared" ref="F6:F18" si="1">E6-C6</f>
        <v>0</v>
      </c>
    </row>
    <row r="7" spans="1:8" ht="13.7" customHeight="1" x14ac:dyDescent="0.2">
      <c r="A7" s="579" t="s">
        <v>154</v>
      </c>
      <c r="B7" s="1724">
        <f>'Revenues 9-14'!F5</f>
        <v>1146634</v>
      </c>
      <c r="C7" s="1664"/>
      <c r="D7" s="1725">
        <f t="shared" si="0"/>
        <v>1146634</v>
      </c>
      <c r="E7" s="1664">
        <v>1158787</v>
      </c>
      <c r="F7" s="1725">
        <f t="shared" si="1"/>
        <v>1158787</v>
      </c>
    </row>
    <row r="8" spans="1:8" ht="13.7" customHeight="1" x14ac:dyDescent="0.2">
      <c r="A8" s="579" t="s">
        <v>1169</v>
      </c>
      <c r="B8" s="1724">
        <f>'Revenues 9-14'!G5</f>
        <v>357774</v>
      </c>
      <c r="C8" s="1664"/>
      <c r="D8" s="1725">
        <f t="shared" si="0"/>
        <v>357774</v>
      </c>
      <c r="E8" s="1664">
        <v>375278</v>
      </c>
      <c r="F8" s="1725">
        <f t="shared" si="1"/>
        <v>375278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766734</v>
      </c>
      <c r="C14" s="1664"/>
      <c r="D14" s="1725">
        <f t="shared" si="0"/>
        <v>766734</v>
      </c>
      <c r="E14" s="1664">
        <v>980512</v>
      </c>
      <c r="F14" s="1725">
        <f t="shared" si="1"/>
        <v>980512</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536652</v>
      </c>
      <c r="C16" s="1664"/>
      <c r="D16" s="1725">
        <f t="shared" si="0"/>
        <v>536652</v>
      </c>
      <c r="E16" s="1664">
        <v>556250</v>
      </c>
      <c r="F16" s="1725">
        <f t="shared" si="1"/>
        <v>556250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52155668</v>
      </c>
      <c r="C19" s="1726">
        <f>SUM(C4:C18)</f>
        <v>0</v>
      </c>
      <c r="D19" s="1726">
        <f>SUM(D4:D18)</f>
        <v>52155668</v>
      </c>
      <c r="E19" s="1726">
        <f>SUM(E4:E18)</f>
        <v>53600976</v>
      </c>
      <c r="F19" s="1726">
        <f>SUM(F4:F18)</f>
        <v>53600976</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4" colorId="8" zoomScale="110" zoomScaleNormal="110" workbookViewId="0">
      <selection activeCell="H34" sqref="H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6" t="s">
        <v>625</v>
      </c>
      <c r="B1" s="2297"/>
      <c r="C1" s="585"/>
    </row>
    <row r="2" spans="1:7" ht="33.75" x14ac:dyDescent="0.2">
      <c r="A2" s="2305" t="s">
        <v>1776</v>
      </c>
      <c r="B2" s="230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9" t="s">
        <v>1104</v>
      </c>
      <c r="B3" s="2310"/>
      <c r="C3" s="2298"/>
      <c r="D3" s="2299"/>
      <c r="E3" s="2299"/>
      <c r="F3" s="2300"/>
    </row>
    <row r="4" spans="1:7" ht="12.75" customHeight="1" thickBot="1" x14ac:dyDescent="0.25">
      <c r="A4" s="2307" t="s">
        <v>626</v>
      </c>
      <c r="B4" s="2308"/>
      <c r="C4" s="1656"/>
      <c r="D4" s="1656"/>
      <c r="E4" s="1656"/>
      <c r="F4" s="1732">
        <f>SUM(C4+D4)-E4</f>
        <v>0</v>
      </c>
    </row>
    <row r="5" spans="1:7" ht="15.75" customHeight="1" thickTop="1" x14ac:dyDescent="0.2">
      <c r="A5" s="2292" t="s">
        <v>1101</v>
      </c>
      <c r="B5" s="2293"/>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4" t="s">
        <v>627</v>
      </c>
      <c r="B15" s="2295"/>
      <c r="C15" s="1732">
        <f>SUM(C6:C14)</f>
        <v>0</v>
      </c>
      <c r="D15" s="1732">
        <f>SUM(D6:D14)</f>
        <v>0</v>
      </c>
      <c r="E15" s="1732">
        <f>SUM(E6:E14)</f>
        <v>0</v>
      </c>
      <c r="F15" s="1732">
        <f>SUM(F6:F14)</f>
        <v>0</v>
      </c>
      <c r="G15" s="473"/>
    </row>
    <row r="16" spans="1:7" s="197" customFormat="1" ht="15.75" customHeight="1" thickTop="1" x14ac:dyDescent="0.2">
      <c r="A16" s="2304" t="s">
        <v>1102</v>
      </c>
      <c r="B16" s="2293"/>
      <c r="C16" s="2301"/>
      <c r="D16" s="2302"/>
      <c r="E16" s="2302"/>
      <c r="F16" s="2303"/>
    </row>
    <row r="17" spans="1:11" ht="12.75" customHeight="1" thickBot="1" x14ac:dyDescent="0.25">
      <c r="A17" s="2317" t="s">
        <v>64</v>
      </c>
      <c r="B17" s="2318"/>
      <c r="C17" s="1733"/>
      <c r="D17" s="1664"/>
      <c r="E17" s="1733"/>
      <c r="F17" s="1732">
        <f>SUM(C17+D17)-E17</f>
        <v>0</v>
      </c>
    </row>
    <row r="18" spans="1:11" ht="12.75" customHeight="1" thickTop="1" thickBot="1" x14ac:dyDescent="0.25">
      <c r="A18" s="2317" t="s">
        <v>6</v>
      </c>
      <c r="B18" s="2318"/>
      <c r="C18" s="1733"/>
      <c r="D18" s="1664"/>
      <c r="E18" s="1733"/>
      <c r="F18" s="1732">
        <f>SUM(C18+D18)-E18</f>
        <v>0</v>
      </c>
    </row>
    <row r="19" spans="1:11" ht="12.75" customHeight="1" thickTop="1" thickBot="1" x14ac:dyDescent="0.25">
      <c r="A19" s="2317" t="s">
        <v>385</v>
      </c>
      <c r="B19" s="2318"/>
      <c r="C19" s="1733"/>
      <c r="D19" s="1664"/>
      <c r="E19" s="1733"/>
      <c r="F19" s="1732">
        <f>SUM(C19+D19)-E19</f>
        <v>0</v>
      </c>
    </row>
    <row r="20" spans="1:11" ht="12.75" customHeight="1" thickTop="1" thickBot="1" x14ac:dyDescent="0.25">
      <c r="A20" s="2317" t="s">
        <v>445</v>
      </c>
      <c r="B20" s="2318"/>
      <c r="C20" s="1733"/>
      <c r="D20" s="1664"/>
      <c r="E20" s="1733"/>
      <c r="F20" s="1732">
        <f>SUM(C20+D20)-E20</f>
        <v>0</v>
      </c>
    </row>
    <row r="21" spans="1:11" ht="14.25" thickTop="1" thickBot="1" x14ac:dyDescent="0.25">
      <c r="A21" s="2294" t="s">
        <v>628</v>
      </c>
      <c r="B21" s="2295"/>
      <c r="C21" s="1732">
        <f>SUM(C17:C20)</f>
        <v>0</v>
      </c>
      <c r="D21" s="1732">
        <f>SUM(D17:D20)</f>
        <v>0</v>
      </c>
      <c r="E21" s="1732">
        <f>SUM(E17:E20)</f>
        <v>0</v>
      </c>
      <c r="F21" s="1732">
        <f>SUM(F17:F20)</f>
        <v>0</v>
      </c>
      <c r="G21" s="473"/>
    </row>
    <row r="22" spans="1:11" ht="15.75" customHeight="1" thickTop="1" x14ac:dyDescent="0.2">
      <c r="A22" s="2319" t="s">
        <v>1103</v>
      </c>
      <c r="B22" s="2293"/>
      <c r="C22" s="2301"/>
      <c r="D22" s="2302"/>
      <c r="E22" s="2302"/>
      <c r="F22" s="2303"/>
    </row>
    <row r="23" spans="1:11" ht="13.5" thickBot="1" x14ac:dyDescent="0.25">
      <c r="A23" s="2307" t="s">
        <v>629</v>
      </c>
      <c r="B23" s="2308"/>
      <c r="C23" s="1656"/>
      <c r="D23" s="1656"/>
      <c r="E23" s="1656"/>
      <c r="F23" s="1732">
        <f>SUM(C23+D23)-E23</f>
        <v>0</v>
      </c>
      <c r="G23" s="473"/>
    </row>
    <row r="24" spans="1:11" ht="15.75" customHeight="1" thickTop="1" x14ac:dyDescent="0.2">
      <c r="A24" s="2319" t="s">
        <v>2003</v>
      </c>
      <c r="B24" s="2293"/>
      <c r="C24" s="2301"/>
      <c r="D24" s="2302"/>
      <c r="E24" s="2302"/>
      <c r="F24" s="2303"/>
    </row>
    <row r="25" spans="1:11" ht="13.5" thickBot="1" x14ac:dyDescent="0.25">
      <c r="A25" s="2307" t="s">
        <v>2004</v>
      </c>
      <c r="B25" s="2308"/>
      <c r="C25" s="1656"/>
      <c r="D25" s="1656"/>
      <c r="E25" s="1656"/>
      <c r="F25" s="1732">
        <f>SUM(C25+D25)-E25</f>
        <v>0</v>
      </c>
      <c r="G25" s="473"/>
    </row>
    <row r="26" spans="1:11" ht="15.75" customHeight="1" thickTop="1" x14ac:dyDescent="0.2">
      <c r="A26" s="2292" t="s">
        <v>652</v>
      </c>
      <c r="B26" s="2293"/>
      <c r="C26" s="589"/>
      <c r="D26" s="589"/>
      <c r="E26" s="589"/>
      <c r="F26" s="590"/>
    </row>
    <row r="27" spans="1:11" ht="13.5" thickBot="1" x14ac:dyDescent="0.25">
      <c r="A27" s="2294" t="s">
        <v>1061</v>
      </c>
      <c r="B27" s="2295"/>
      <c r="C27" s="1664"/>
      <c r="D27" s="1664"/>
      <c r="E27" s="1664"/>
      <c r="F27" s="1732">
        <f>SUM(C27+D27)-E27</f>
        <v>0</v>
      </c>
      <c r="G27" s="473"/>
    </row>
    <row r="28" spans="1:11" ht="7.5" customHeight="1" thickTop="1" x14ac:dyDescent="0.2">
      <c r="A28" s="489"/>
    </row>
    <row r="29" spans="1:11" ht="23.25" customHeight="1" x14ac:dyDescent="0.2">
      <c r="A29" s="2320" t="s">
        <v>578</v>
      </c>
      <c r="B29" s="229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2063</v>
      </c>
      <c r="B31" s="595">
        <v>40238</v>
      </c>
      <c r="C31" s="1734">
        <v>4970000</v>
      </c>
      <c r="D31" s="1735">
        <v>7</v>
      </c>
      <c r="E31" s="1734">
        <v>1945000</v>
      </c>
      <c r="F31" s="1734"/>
      <c r="G31" s="1734">
        <v>-1945000</v>
      </c>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2064</v>
      </c>
      <c r="B33" s="595">
        <v>41540</v>
      </c>
      <c r="C33" s="1734">
        <v>8975000</v>
      </c>
      <c r="D33" s="2035" t="s">
        <v>2066</v>
      </c>
      <c r="E33" s="1734">
        <v>8975000</v>
      </c>
      <c r="F33" s="1734"/>
      <c r="G33" s="1734">
        <v>-825000</v>
      </c>
      <c r="H33" s="1734"/>
      <c r="I33" s="1736">
        <f t="shared" ref="I33:I48" si="1">((E33+F33)-H33)+G33</f>
        <v>8150000</v>
      </c>
      <c r="J33" s="1734">
        <v>7874840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2065</v>
      </c>
      <c r="B35" s="595">
        <v>42124</v>
      </c>
      <c r="C35" s="1737">
        <v>9270000</v>
      </c>
      <c r="D35" s="2035" t="s">
        <v>2067</v>
      </c>
      <c r="E35" s="1737">
        <v>9270000</v>
      </c>
      <c r="F35" s="1737"/>
      <c r="G35" s="1737"/>
      <c r="H35" s="1737"/>
      <c r="I35" s="1736">
        <f t="shared" si="1"/>
        <v>9270000</v>
      </c>
      <c r="J35" s="1737">
        <v>8754119</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t="s">
        <v>2069</v>
      </c>
      <c r="B37" s="595">
        <v>43814</v>
      </c>
      <c r="C37" s="1574">
        <v>2915000</v>
      </c>
      <c r="D37" s="1738">
        <v>3</v>
      </c>
      <c r="E37" s="1574"/>
      <c r="F37" s="1574">
        <v>2915000</v>
      </c>
      <c r="G37" s="1574"/>
      <c r="H37" s="1574"/>
      <c r="I37" s="1736">
        <f t="shared" si="1"/>
        <v>2915000</v>
      </c>
      <c r="J37" s="1574">
        <v>2754300</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t="s">
        <v>2070</v>
      </c>
      <c r="B39" s="595">
        <v>36161</v>
      </c>
      <c r="C39" s="1734"/>
      <c r="D39" s="1739"/>
      <c r="E39" s="1740"/>
      <c r="F39" s="1740"/>
      <c r="G39" s="1740"/>
      <c r="H39" s="1740"/>
      <c r="I39" s="1736">
        <f t="shared" si="1"/>
        <v>0</v>
      </c>
      <c r="J39" s="1741">
        <f>-708804</f>
        <v>-708804</v>
      </c>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26130000</v>
      </c>
      <c r="D49" s="1742"/>
      <c r="E49" s="1736">
        <f t="shared" ref="E49:J49" si="2">SUM(E31:E48)</f>
        <v>20190000</v>
      </c>
      <c r="F49" s="1736">
        <f t="shared" si="2"/>
        <v>2915000</v>
      </c>
      <c r="G49" s="1736">
        <f t="shared" si="2"/>
        <v>-2770000</v>
      </c>
      <c r="H49" s="1736">
        <f t="shared" si="2"/>
        <v>0</v>
      </c>
      <c r="I49" s="1736">
        <f t="shared" si="2"/>
        <v>20335000</v>
      </c>
      <c r="J49" s="1736">
        <f t="shared" si="2"/>
        <v>18674455</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1" t="s">
        <v>580</v>
      </c>
      <c r="C52" s="2312"/>
      <c r="D52" s="2312"/>
      <c r="E52" s="603" t="s">
        <v>840</v>
      </c>
      <c r="F52" s="2313" t="s">
        <v>2068</v>
      </c>
      <c r="G52" s="2314"/>
      <c r="H52" s="596"/>
      <c r="I52" s="596"/>
      <c r="J52" s="600"/>
    </row>
    <row r="53" spans="1:11" ht="11.25" customHeight="1" x14ac:dyDescent="0.2">
      <c r="A53" s="604" t="s">
        <v>907</v>
      </c>
      <c r="B53" s="605" t="s">
        <v>945</v>
      </c>
      <c r="C53" s="600"/>
      <c r="D53" s="597"/>
      <c r="E53" s="603" t="s">
        <v>494</v>
      </c>
      <c r="F53" s="2315"/>
      <c r="G53" s="2316"/>
      <c r="H53" s="596"/>
      <c r="I53" s="596"/>
      <c r="J53" s="600"/>
    </row>
    <row r="54" spans="1:11" ht="11.25" customHeight="1" x14ac:dyDescent="0.2">
      <c r="A54" s="606" t="s">
        <v>908</v>
      </c>
      <c r="B54" s="601" t="s">
        <v>946</v>
      </c>
      <c r="C54" s="600"/>
      <c r="D54" s="597"/>
      <c r="E54" s="603" t="s">
        <v>495</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39" sqref="G3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7" t="s">
        <v>851</v>
      </c>
      <c r="B1" s="2348"/>
      <c r="C1" s="2348"/>
      <c r="D1" s="2348"/>
      <c r="E1" s="2348"/>
      <c r="F1" s="2348"/>
      <c r="G1" s="2349"/>
      <c r="H1" s="1298"/>
      <c r="I1" s="614"/>
      <c r="J1" s="400"/>
    </row>
    <row r="2" spans="1:11" ht="26.25" x14ac:dyDescent="0.2">
      <c r="A2" s="2324" t="s">
        <v>1658</v>
      </c>
      <c r="B2" s="2325"/>
      <c r="C2" s="2325"/>
      <c r="D2" s="2325"/>
      <c r="E2" s="2326"/>
      <c r="F2" s="615" t="s">
        <v>898</v>
      </c>
      <c r="G2" s="616" t="s">
        <v>1655</v>
      </c>
      <c r="H2" s="616" t="s">
        <v>407</v>
      </c>
      <c r="I2" s="616" t="s">
        <v>1148</v>
      </c>
      <c r="J2" s="616" t="s">
        <v>1786</v>
      </c>
      <c r="K2" s="616" t="s">
        <v>137</v>
      </c>
    </row>
    <row r="3" spans="1:11" x14ac:dyDescent="0.2">
      <c r="A3" s="2327" t="str">
        <f>"Cash Basis Fund Balance as of July 1, "&amp;'AFR20'!E2-1</f>
        <v>Cash Basis Fund Balance as of July 1, 2019</v>
      </c>
      <c r="B3" s="2328"/>
      <c r="C3" s="2328"/>
      <c r="D3" s="2328"/>
      <c r="E3" s="2329"/>
      <c r="F3" s="617"/>
      <c r="G3" s="1744"/>
      <c r="H3" s="1744"/>
      <c r="I3" s="1744"/>
      <c r="J3" s="1745"/>
      <c r="K3" s="1745"/>
    </row>
    <row r="4" spans="1:11" x14ac:dyDescent="0.2">
      <c r="A4" s="2330" t="s">
        <v>366</v>
      </c>
      <c r="B4" s="2331"/>
      <c r="C4" s="2331"/>
      <c r="D4" s="2331"/>
      <c r="E4" s="2312"/>
      <c r="F4" s="620"/>
      <c r="G4" s="1746"/>
      <c r="H4" s="1747"/>
      <c r="I4" s="1746"/>
      <c r="J4" s="1748"/>
      <c r="K4" s="1748"/>
    </row>
    <row r="5" spans="1:11" x14ac:dyDescent="0.2">
      <c r="A5" s="2350" t="s">
        <v>1060</v>
      </c>
      <c r="B5" s="2321"/>
      <c r="C5" s="2321"/>
      <c r="D5" s="2321"/>
      <c r="E5" s="2351"/>
      <c r="F5" s="622" t="s">
        <v>843</v>
      </c>
      <c r="G5" s="1749"/>
      <c r="H5" s="1744">
        <v>766734</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50" t="s">
        <v>1787</v>
      </c>
      <c r="B10" s="2321"/>
      <c r="C10" s="2321"/>
      <c r="D10" s="2321"/>
      <c r="E10" s="2352"/>
      <c r="F10" s="633" t="s">
        <v>857</v>
      </c>
      <c r="G10" s="1753"/>
      <c r="H10" s="1754"/>
      <c r="I10" s="1744"/>
      <c r="J10" s="1745"/>
      <c r="K10" s="1745"/>
    </row>
    <row r="11" spans="1:11" x14ac:dyDescent="0.2">
      <c r="A11" s="2350" t="s">
        <v>159</v>
      </c>
      <c r="B11" s="2321"/>
      <c r="C11" s="2321"/>
      <c r="D11" s="2321"/>
      <c r="E11" s="2351"/>
      <c r="F11" s="622" t="s">
        <v>847</v>
      </c>
      <c r="G11" s="1749"/>
      <c r="H11" s="1744"/>
      <c r="I11" s="1744"/>
      <c r="J11" s="1745"/>
      <c r="K11" s="1751"/>
    </row>
    <row r="12" spans="1:11" ht="13.5" thickBot="1" x14ac:dyDescent="0.25">
      <c r="A12" s="2338" t="s">
        <v>899</v>
      </c>
      <c r="B12" s="2339"/>
      <c r="C12" s="2339"/>
      <c r="D12" s="2339"/>
      <c r="E12" s="2340"/>
      <c r="F12" s="1433"/>
      <c r="G12" s="1755">
        <f>SUM(G5:G11)</f>
        <v>0</v>
      </c>
      <c r="H12" s="1755">
        <f>SUM(H5:H11)</f>
        <v>766734</v>
      </c>
      <c r="I12" s="1755">
        <f>SUM(I5:I11)</f>
        <v>0</v>
      </c>
      <c r="J12" s="1755">
        <f>SUM(J5:J11)</f>
        <v>0</v>
      </c>
      <c r="K12" s="1755">
        <f>SUM(K5:K11)</f>
        <v>0</v>
      </c>
    </row>
    <row r="13" spans="1:11" ht="13.5" thickTop="1" x14ac:dyDescent="0.2">
      <c r="A13" s="2332" t="s">
        <v>367</v>
      </c>
      <c r="B13" s="2333"/>
      <c r="C13" s="2333"/>
      <c r="D13" s="2333"/>
      <c r="E13" s="2334"/>
      <c r="F13" s="634"/>
      <c r="G13" s="1756"/>
      <c r="H13" s="1757"/>
      <c r="I13" s="1758"/>
      <c r="J13" s="1758"/>
      <c r="K13" s="1758"/>
    </row>
    <row r="14" spans="1:11" x14ac:dyDescent="0.2">
      <c r="A14" s="2356" t="s">
        <v>453</v>
      </c>
      <c r="B14" s="2356"/>
      <c r="C14" s="2356"/>
      <c r="D14" s="2356"/>
      <c r="E14" s="2357"/>
      <c r="F14" s="635" t="s">
        <v>849</v>
      </c>
      <c r="G14" s="1753"/>
      <c r="H14" s="1744">
        <v>766734</v>
      </c>
      <c r="I14" s="1749"/>
      <c r="J14" s="1751"/>
      <c r="K14" s="1745"/>
    </row>
    <row r="15" spans="1:11" x14ac:dyDescent="0.2">
      <c r="A15" s="2321" t="s">
        <v>4</v>
      </c>
      <c r="B15" s="2321"/>
      <c r="C15" s="2321"/>
      <c r="D15" s="2321"/>
      <c r="E15" s="2351"/>
      <c r="F15" s="635" t="s">
        <v>850</v>
      </c>
      <c r="G15" s="1749"/>
      <c r="H15" s="1744"/>
      <c r="I15" s="1744"/>
      <c r="J15" s="1745"/>
      <c r="K15" s="1745"/>
    </row>
    <row r="16" spans="1:11" x14ac:dyDescent="0.2">
      <c r="A16" s="2321" t="s">
        <v>295</v>
      </c>
      <c r="B16" s="2321"/>
      <c r="C16" s="2321"/>
      <c r="D16" s="2321"/>
      <c r="E16" s="2351"/>
      <c r="F16" s="635" t="s">
        <v>917</v>
      </c>
      <c r="G16" s="1750"/>
      <c r="H16" s="1746"/>
      <c r="I16" s="1746"/>
      <c r="J16" s="1748"/>
      <c r="K16" s="1748"/>
    </row>
    <row r="17" spans="1:15" x14ac:dyDescent="0.2">
      <c r="A17" s="2345" t="s">
        <v>929</v>
      </c>
      <c r="B17" s="2345"/>
      <c r="C17" s="2345"/>
      <c r="D17" s="2345"/>
      <c r="E17" s="2346"/>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58" t="s">
        <v>1783</v>
      </c>
      <c r="B19" s="2358"/>
      <c r="C19" s="2358"/>
      <c r="D19" s="2358"/>
      <c r="E19" s="2359"/>
      <c r="F19" s="635" t="s">
        <v>927</v>
      </c>
      <c r="G19" s="1753"/>
      <c r="H19" s="1753"/>
      <c r="I19" s="1753"/>
      <c r="J19" s="1745"/>
      <c r="K19" s="1763"/>
    </row>
    <row r="20" spans="1:15" x14ac:dyDescent="0.2">
      <c r="A20" s="2335" t="s">
        <v>1788</v>
      </c>
      <c r="B20" s="2336"/>
      <c r="C20" s="2336"/>
      <c r="D20" s="2336"/>
      <c r="E20" s="2337"/>
      <c r="F20" s="635" t="s">
        <v>928</v>
      </c>
      <c r="G20" s="1753"/>
      <c r="H20" s="1753"/>
      <c r="I20" s="1753"/>
      <c r="J20" s="1745"/>
      <c r="K20" s="1763"/>
    </row>
    <row r="21" spans="1:15" ht="13.5" thickBot="1" x14ac:dyDescent="0.25">
      <c r="A21" s="2341" t="s">
        <v>633</v>
      </c>
      <c r="B21" s="2341"/>
      <c r="C21" s="2341"/>
      <c r="D21" s="2341"/>
      <c r="E21" s="2341"/>
      <c r="F21" s="1434"/>
      <c r="G21" s="1760"/>
      <c r="H21" s="1764"/>
      <c r="I21" s="1764"/>
      <c r="J21" s="1765">
        <f>SUM(J18:J20)</f>
        <v>0</v>
      </c>
      <c r="K21" s="1761"/>
    </row>
    <row r="22" spans="1:15" ht="13.5" thickTop="1" x14ac:dyDescent="0.2">
      <c r="A22" s="2321" t="s">
        <v>1789</v>
      </c>
      <c r="B22" s="2321"/>
      <c r="C22" s="2321"/>
      <c r="D22" s="2321"/>
      <c r="E22" s="2351"/>
      <c r="F22" s="635" t="s">
        <v>857</v>
      </c>
      <c r="G22" s="1753"/>
      <c r="H22" s="1744"/>
      <c r="I22" s="1744"/>
      <c r="J22" s="1766"/>
      <c r="K22" s="1745"/>
    </row>
    <row r="23" spans="1:15" ht="13.5" thickBot="1" x14ac:dyDescent="0.25">
      <c r="A23" s="2342" t="s">
        <v>900</v>
      </c>
      <c r="B23" s="2341"/>
      <c r="C23" s="2341"/>
      <c r="D23" s="2341"/>
      <c r="E23" s="2341"/>
      <c r="F23" s="1436"/>
      <c r="G23" s="1755">
        <f>SUM(G14:G16,G21,G22)</f>
        <v>0</v>
      </c>
      <c r="H23" s="1755">
        <f>SUM(H14:H16,H21,H22)</f>
        <v>766734</v>
      </c>
      <c r="I23" s="1755">
        <f>SUM(I14:I16,I21,I22)</f>
        <v>0</v>
      </c>
      <c r="J23" s="1755">
        <f>SUM(J14:J16,J21,J22)</f>
        <v>0</v>
      </c>
      <c r="K23" s="1755">
        <f>SUM(K14:K16,K21,K22)</f>
        <v>0</v>
      </c>
      <c r="M23" s="1846"/>
      <c r="N23" s="1846"/>
      <c r="O23" s="1846"/>
    </row>
    <row r="24" spans="1:15" ht="14.25" thickTop="1" thickBot="1" x14ac:dyDescent="0.25">
      <c r="A24" s="2343" t="str">
        <f>"Ending Cash Basis Fund Balance as of June 30, "&amp;'AFR20'!E2</f>
        <v>Ending Cash Basis Fund Balance as of June 30, 2020</v>
      </c>
      <c r="B24" s="2344"/>
      <c r="C24" s="2344"/>
      <c r="D24" s="2344"/>
      <c r="E24" s="234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2048</v>
      </c>
      <c r="E30" s="648" t="s">
        <v>763</v>
      </c>
      <c r="F30" s="197"/>
      <c r="G30" s="645"/>
    </row>
    <row r="31" spans="1:15" x14ac:dyDescent="0.2">
      <c r="A31" s="649"/>
      <c r="D31" s="232"/>
      <c r="E31" s="650" t="s">
        <v>764</v>
      </c>
      <c r="F31" s="651" t="s">
        <v>536</v>
      </c>
      <c r="G31" s="618"/>
      <c r="H31" s="2353"/>
      <c r="I31" s="2354"/>
      <c r="J31" s="2354"/>
      <c r="K31" s="2354"/>
    </row>
    <row r="32" spans="1:15" x14ac:dyDescent="0.2">
      <c r="A32" s="649"/>
      <c r="B32" s="232"/>
      <c r="C32" s="232"/>
      <c r="D32" s="232"/>
      <c r="E32" s="645"/>
      <c r="F32" s="651" t="s">
        <v>537</v>
      </c>
      <c r="G32" s="618"/>
      <c r="H32" s="2355"/>
      <c r="I32" s="2354"/>
      <c r="J32" s="2354"/>
      <c r="K32" s="2354"/>
    </row>
    <row r="33" spans="1:11" ht="1.5" customHeight="1" x14ac:dyDescent="0.2">
      <c r="A33" s="652" t="s">
        <v>1159</v>
      </c>
      <c r="B33" s="341"/>
      <c r="C33" s="341"/>
      <c r="D33" s="341"/>
      <c r="E33" s="341"/>
      <c r="F33" s="341"/>
      <c r="G33" s="653"/>
      <c r="H33" s="2355"/>
      <c r="I33" s="2354"/>
      <c r="J33" s="2354"/>
      <c r="K33" s="2354"/>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v>112971</v>
      </c>
    </row>
    <row r="37" spans="1:11" x14ac:dyDescent="0.2">
      <c r="A37" s="660" t="s">
        <v>890</v>
      </c>
      <c r="B37" s="658"/>
      <c r="C37" s="658"/>
      <c r="D37" s="658"/>
      <c r="E37" s="658"/>
      <c r="F37" s="659"/>
      <c r="G37" s="619"/>
    </row>
    <row r="38" spans="1:11" x14ac:dyDescent="0.2">
      <c r="A38" s="660" t="s">
        <v>986</v>
      </c>
      <c r="B38" s="658"/>
      <c r="C38" s="658"/>
      <c r="D38" s="658"/>
      <c r="E38" s="658"/>
      <c r="F38" s="659"/>
      <c r="G38" s="619">
        <v>195326</v>
      </c>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22"/>
      <c r="C41" s="2322"/>
      <c r="D41" s="2322"/>
      <c r="E41" s="2322"/>
      <c r="F41" s="232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3" sqref="D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1872</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127188</v>
      </c>
      <c r="D5" s="1770"/>
      <c r="E5" s="1770"/>
      <c r="F5" s="1765">
        <f>(C5+D5)-E5</f>
        <v>127188</v>
      </c>
      <c r="G5" s="676"/>
      <c r="H5" s="680"/>
      <c r="I5" s="680"/>
      <c r="J5" s="680"/>
      <c r="K5" s="637"/>
      <c r="L5" s="1442">
        <f>F5-K5</f>
        <v>127188</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99123406</v>
      </c>
      <c r="D8" s="1771">
        <v>7298859</v>
      </c>
      <c r="E8" s="1771"/>
      <c r="F8" s="1765">
        <f>(C8+D8)-E8</f>
        <v>106422265</v>
      </c>
      <c r="G8" s="681">
        <v>50</v>
      </c>
      <c r="H8" s="619">
        <v>28995418</v>
      </c>
      <c r="I8" s="619">
        <v>1975300</v>
      </c>
      <c r="J8" s="619"/>
      <c r="K8" s="1442">
        <f>(H8+I8)-J8</f>
        <v>30970718</v>
      </c>
      <c r="L8" s="1442">
        <f>F8-K8</f>
        <v>75451547</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3212990</v>
      </c>
      <c r="D10" s="1772">
        <v>101237</v>
      </c>
      <c r="E10" s="1772"/>
      <c r="F10" s="1773">
        <f>(C10+D10)-E10</f>
        <v>3314227</v>
      </c>
      <c r="G10" s="681">
        <v>20</v>
      </c>
      <c r="H10" s="683">
        <v>1159548</v>
      </c>
      <c r="I10" s="683">
        <v>158136</v>
      </c>
      <c r="J10" s="683"/>
      <c r="K10" s="1442">
        <f>(H10+I10)-J10</f>
        <v>1317684</v>
      </c>
      <c r="L10" s="1442">
        <f>F10-K10</f>
        <v>1996543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31918068</v>
      </c>
      <c r="D12" s="1771">
        <f>1609546+1</f>
        <v>1609547</v>
      </c>
      <c r="E12" s="1771"/>
      <c r="F12" s="1765">
        <f>(C12+D12)-E12</f>
        <v>33527615</v>
      </c>
      <c r="G12" s="681">
        <v>10</v>
      </c>
      <c r="H12" s="619">
        <v>22555449</v>
      </c>
      <c r="I12" s="619">
        <v>2185901</v>
      </c>
      <c r="J12" s="619"/>
      <c r="K12" s="1442">
        <f>(H12+I12)-J12</f>
        <v>24741350</v>
      </c>
      <c r="L12" s="1442">
        <f>F12-K12</f>
        <v>8786265</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134381652</v>
      </c>
      <c r="D16" s="1765">
        <f>SUM(D3,D5:D6,D8:D10,D12:D15)</f>
        <v>9009643</v>
      </c>
      <c r="E16" s="1765">
        <f>SUM(E3,E5:E6,E8:E10,E12:E15)</f>
        <v>0</v>
      </c>
      <c r="F16" s="1765">
        <f>SUM(F3,F5:F6,F8:F10,F12:F15)</f>
        <v>143391295</v>
      </c>
      <c r="G16" s="681"/>
      <c r="H16" s="1435">
        <f>SUM(H3,H6,H8:H10,H12:H14,)</f>
        <v>52710415</v>
      </c>
      <c r="I16" s="1435">
        <f>SUM(I3,I6,I8:I10,I12:I14,)</f>
        <v>4319337</v>
      </c>
      <c r="J16" s="1435">
        <f>SUM(J3,J6,J8:J10,J12:J14,)</f>
        <v>0</v>
      </c>
      <c r="K16" s="1435">
        <f>(H16+I16)-J16</f>
        <v>57029752</v>
      </c>
      <c r="L16" s="1435">
        <f>F16-K16</f>
        <v>86361543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4319337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4" colorId="8" zoomScale="110" zoomScaleNormal="110" workbookViewId="0">
      <selection activeCell="F54" sqref="F5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42326504</v>
      </c>
      <c r="G8" s="701"/>
    </row>
    <row r="9" spans="1:9" x14ac:dyDescent="0.2">
      <c r="A9" s="705" t="s">
        <v>457</v>
      </c>
      <c r="B9" s="706" t="s">
        <v>1845</v>
      </c>
      <c r="C9" s="707"/>
      <c r="D9" s="705" t="s">
        <v>498</v>
      </c>
      <c r="E9" s="704"/>
      <c r="F9" s="1775">
        <f>'Expenditures 15-22'!K151</f>
        <v>6053149</v>
      </c>
      <c r="G9" s="708"/>
    </row>
    <row r="10" spans="1:9" x14ac:dyDescent="0.2">
      <c r="A10" s="705" t="s">
        <v>496</v>
      </c>
      <c r="B10" s="706" t="s">
        <v>1846</v>
      </c>
      <c r="C10" s="707"/>
      <c r="D10" s="705" t="s">
        <v>498</v>
      </c>
      <c r="E10" s="704"/>
      <c r="F10" s="1775">
        <f>'Expenditures 15-22'!K174</f>
        <v>740697</v>
      </c>
      <c r="G10" s="708"/>
    </row>
    <row r="11" spans="1:9" x14ac:dyDescent="0.2">
      <c r="A11" s="705" t="s">
        <v>458</v>
      </c>
      <c r="B11" s="706" t="s">
        <v>1847</v>
      </c>
      <c r="C11" s="707"/>
      <c r="D11" s="705" t="s">
        <v>498</v>
      </c>
      <c r="E11" s="704"/>
      <c r="F11" s="1775">
        <f>'Expenditures 15-22'!K210</f>
        <v>1400746</v>
      </c>
      <c r="G11" s="708"/>
    </row>
    <row r="12" spans="1:9" x14ac:dyDescent="0.2">
      <c r="A12" s="705" t="s">
        <v>459</v>
      </c>
      <c r="B12" s="706" t="s">
        <v>1848</v>
      </c>
      <c r="C12" s="707"/>
      <c r="D12" s="705" t="s">
        <v>498</v>
      </c>
      <c r="E12" s="704"/>
      <c r="F12" s="1775">
        <f>'Expenditures 15-22'!K295</f>
        <v>1131188</v>
      </c>
      <c r="G12" s="708"/>
    </row>
    <row r="13" spans="1:9" x14ac:dyDescent="0.2">
      <c r="A13" s="705" t="s">
        <v>106</v>
      </c>
      <c r="B13" s="706" t="s">
        <v>1849</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51652284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94563</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162002</v>
      </c>
      <c r="G52" s="701"/>
    </row>
    <row r="53" spans="1:7" x14ac:dyDescent="0.2">
      <c r="A53" s="705" t="s">
        <v>456</v>
      </c>
      <c r="B53" s="705" t="s">
        <v>1458</v>
      </c>
      <c r="C53" s="724">
        <f>'Expenditures 15-22'!B102</f>
        <v>4000</v>
      </c>
      <c r="D53" s="723" t="str">
        <f>'Expenditures 15-22'!A102</f>
        <v>Total Payments to Other Govt Units</v>
      </c>
      <c r="E53" s="704"/>
      <c r="F53" s="1782">
        <f>'Expenditures 15-22'!K102</f>
        <v>441854</v>
      </c>
      <c r="G53" s="701"/>
    </row>
    <row r="54" spans="1:7" x14ac:dyDescent="0.2">
      <c r="A54" s="705" t="s">
        <v>456</v>
      </c>
      <c r="B54" s="705" t="s">
        <v>1459</v>
      </c>
      <c r="C54" s="724" t="s">
        <v>975</v>
      </c>
      <c r="D54" s="720" t="s">
        <v>1086</v>
      </c>
      <c r="E54" s="704"/>
      <c r="F54" s="1782">
        <f>'Expenditures 15-22'!G114</f>
        <v>576006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2974727</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6398</v>
      </c>
      <c r="G71" s="701"/>
    </row>
    <row r="72" spans="1:9" x14ac:dyDescent="0.2">
      <c r="A72" s="705" t="s">
        <v>459</v>
      </c>
      <c r="B72" s="705" t="s">
        <v>1864</v>
      </c>
      <c r="C72" s="721">
        <f>'Expenditures 15-22'!B280</f>
        <v>3000</v>
      </c>
      <c r="D72" s="712" t="s">
        <v>446</v>
      </c>
      <c r="E72" s="704"/>
      <c r="F72" s="1782">
        <f>'Expenditures 15-22'!K280</f>
        <v>21156</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4276706</v>
      </c>
      <c r="G77" s="701"/>
    </row>
    <row r="78" spans="1:9" s="728" customFormat="1" ht="12" customHeight="1" thickTop="1" thickBot="1" x14ac:dyDescent="0.25">
      <c r="A78" s="1450"/>
      <c r="B78" s="1448"/>
      <c r="C78" s="1445"/>
      <c r="D78" s="1449" t="s">
        <v>2009</v>
      </c>
      <c r="E78" s="1447"/>
      <c r="F78" s="1788">
        <f>(F14-F77)</f>
        <v>47375578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2913.8</v>
      </c>
      <c r="G79" s="733"/>
      <c r="H79" s="705"/>
      <c r="I79" s="705"/>
    </row>
    <row r="80" spans="1:9" s="728" customFormat="1" ht="12" customHeight="1" thickBot="1" x14ac:dyDescent="0.25">
      <c r="A80" s="1452"/>
      <c r="B80" s="1448"/>
      <c r="C80" s="1445"/>
      <c r="D80" s="1449" t="s">
        <v>2010</v>
      </c>
      <c r="E80" s="1447" t="s">
        <v>952</v>
      </c>
      <c r="F80" s="1790">
        <f>IF(F79&gt;0,F78/F79," Complete Line 79")</f>
        <v>16259.035623584321</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70430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22550</v>
      </c>
      <c r="G95" s="745"/>
    </row>
    <row r="96" spans="1:7" x14ac:dyDescent="0.2">
      <c r="A96" s="741" t="s">
        <v>139</v>
      </c>
      <c r="B96" s="741" t="s">
        <v>174</v>
      </c>
      <c r="C96" s="743">
        <v>1700</v>
      </c>
      <c r="D96" s="751" t="str">
        <f>'Revenues 9-14'!A82</f>
        <v>Total District/School Activity Income</v>
      </c>
      <c r="E96" s="739"/>
      <c r="F96" s="1793">
        <f>SUM('Revenues 9-14'!C82,'Revenues 9-14'!D82)</f>
        <v>58088</v>
      </c>
      <c r="G96" s="745"/>
    </row>
    <row r="97" spans="1:7" x14ac:dyDescent="0.2">
      <c r="A97" s="741" t="s">
        <v>456</v>
      </c>
      <c r="B97" s="741" t="s">
        <v>175</v>
      </c>
      <c r="C97" s="743">
        <f>'Revenues 9-14'!B84</f>
        <v>1811</v>
      </c>
      <c r="D97" s="744" t="str">
        <f>'Revenues 9-14'!A84</f>
        <v>Rentals - Regular Textbooks</v>
      </c>
      <c r="E97" s="739"/>
      <c r="F97" s="1793">
        <f>'Revenues 9-14'!C84</f>
        <v>368317</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14641</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6970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6550</v>
      </c>
      <c r="G105" s="745"/>
    </row>
    <row r="106" spans="1:7" x14ac:dyDescent="0.2">
      <c r="A106" s="741" t="s">
        <v>500</v>
      </c>
      <c r="B106" s="741" t="s">
        <v>1907</v>
      </c>
      <c r="C106" s="746">
        <v>3100</v>
      </c>
      <c r="D106" s="752" t="str">
        <f>'Revenues 9-14'!A132</f>
        <v>Total Special Education</v>
      </c>
      <c r="E106" s="739"/>
      <c r="F106" s="1793">
        <f>SUM('Revenues 9-14'!C132:D132,'Revenues 9-14'!F132)</f>
        <v>22774</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0</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246984</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52125</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12847</v>
      </c>
      <c r="G126" s="763"/>
    </row>
    <row r="127" spans="1:7" x14ac:dyDescent="0.2">
      <c r="A127" s="760" t="s">
        <v>663</v>
      </c>
      <c r="B127" s="760" t="s">
        <v>1928</v>
      </c>
      <c r="C127" s="765">
        <v>4300</v>
      </c>
      <c r="D127" s="766" t="str">
        <f>'Revenues 9-14'!A204</f>
        <v>Total Title I</v>
      </c>
      <c r="E127" s="739"/>
      <c r="F127" s="1793">
        <f>SUM('Revenues 9-14'!C204,'Revenues 9-14'!D204,'Revenues 9-14'!F204,'Revenues 9-14'!G204)</f>
        <v>59362</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615998</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120168</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44522</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1141906</v>
      </c>
      <c r="G172" s="760"/>
    </row>
    <row r="173" spans="1:7" x14ac:dyDescent="0.2">
      <c r="A173" s="1529" t="s">
        <v>659</v>
      </c>
      <c r="B173" s="1530" t="s">
        <v>1882</v>
      </c>
      <c r="C173" s="1531">
        <v>3300</v>
      </c>
      <c r="D173" s="1532" t="s">
        <v>1885</v>
      </c>
      <c r="E173" s="739"/>
      <c r="F173" s="1794">
        <v>87.56</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2864319.56</v>
      </c>
    </row>
    <row r="176" spans="1:7" ht="12" customHeight="1" x14ac:dyDescent="0.2">
      <c r="A176" s="1443"/>
      <c r="B176" s="1453"/>
      <c r="C176" s="1454"/>
      <c r="D176" s="1455" t="s">
        <v>2011</v>
      </c>
      <c r="E176" s="1456"/>
      <c r="F176" s="1793">
        <f>'PCTC-OEPP 27-28'!F78-F175</f>
        <v>44511258.439999998</v>
      </c>
    </row>
    <row r="177" spans="1:9" ht="12" customHeight="1" x14ac:dyDescent="0.2">
      <c r="A177" s="1443"/>
      <c r="B177" s="1453"/>
      <c r="C177" s="1454"/>
      <c r="D177" s="1455" t="s">
        <v>1791</v>
      </c>
      <c r="E177" s="1456"/>
      <c r="F177" s="1793">
        <f>'Cap Outlay Deprec 26'!I18</f>
        <v>4319337</v>
      </c>
    </row>
    <row r="178" spans="1:9" ht="12" customHeight="1" x14ac:dyDescent="0.2">
      <c r="A178" s="1443"/>
      <c r="B178" s="1453"/>
      <c r="C178" s="1454"/>
      <c r="D178" s="1455" t="s">
        <v>2012</v>
      </c>
      <c r="E178" s="1456"/>
      <c r="F178" s="1793">
        <f>F176+F177</f>
        <v>48830595.439999998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2913.8</v>
      </c>
      <c r="G179" s="763"/>
      <c r="I179" s="701"/>
    </row>
    <row r="180" spans="1:9" ht="12" customHeight="1" thickBot="1" x14ac:dyDescent="0.25">
      <c r="A180" s="1443"/>
      <c r="B180" s="1457"/>
      <c r="C180" s="1454"/>
      <c r="D180" s="1455" t="s">
        <v>2014</v>
      </c>
      <c r="E180" s="1456" t="s">
        <v>1528</v>
      </c>
      <c r="F180" s="1798">
        <f>F178/F179</f>
        <v>16758.389539433039</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C30" sqref="C30"/>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9" t="s">
        <v>1792</v>
      </c>
      <c r="B4" s="2380"/>
      <c r="C4" s="2380"/>
      <c r="D4" s="2380"/>
      <c r="E4" s="2380"/>
      <c r="F4" s="2381"/>
    </row>
    <row r="5" spans="1:6" x14ac:dyDescent="0.25">
      <c r="A5" s="2382"/>
      <c r="B5" s="2383"/>
      <c r="C5" s="2383"/>
      <c r="D5" s="2383"/>
      <c r="E5" s="2383"/>
      <c r="F5" s="2384"/>
    </row>
    <row r="6" spans="1:6" ht="18.75" x14ac:dyDescent="0.25">
      <c r="A6" s="1867" t="s">
        <v>1793</v>
      </c>
      <c r="B6" s="1868"/>
      <c r="C6" s="1869"/>
      <c r="D6" s="1869"/>
      <c r="E6" s="1869"/>
      <c r="F6" s="1870"/>
    </row>
    <row r="7" spans="1:6" ht="47.25" customHeight="1" x14ac:dyDescent="0.25">
      <c r="A7" s="2385" t="s">
        <v>1982</v>
      </c>
      <c r="B7" s="2386"/>
      <c r="C7" s="2386"/>
      <c r="D7" s="2386"/>
      <c r="E7" s="2386"/>
      <c r="F7" s="2387"/>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8" t="s">
        <v>1978</v>
      </c>
      <c r="B10" s="2389"/>
      <c r="C10" s="2389"/>
      <c r="D10" s="2389"/>
      <c r="E10" s="2389"/>
      <c r="F10" s="2390"/>
    </row>
    <row r="11" spans="1:6" ht="33" customHeight="1" x14ac:dyDescent="0.25">
      <c r="A11" s="2385" t="s">
        <v>1983</v>
      </c>
      <c r="B11" s="2386"/>
      <c r="C11" s="2386"/>
      <c r="D11" s="2386"/>
      <c r="E11" s="2386"/>
      <c r="F11" s="2387"/>
    </row>
    <row r="12" spans="1:6" ht="15" customHeight="1" x14ac:dyDescent="0.25">
      <c r="A12" s="1873" t="s">
        <v>1979</v>
      </c>
      <c r="B12" s="1874"/>
      <c r="C12" s="1875"/>
      <c r="D12" s="1875"/>
      <c r="E12" s="1875"/>
      <c r="F12" s="1876"/>
    </row>
    <row r="13" spans="1:6" ht="17.25" customHeight="1" x14ac:dyDescent="0.25">
      <c r="A13" s="2385" t="s">
        <v>1980</v>
      </c>
      <c r="B13" s="2386"/>
      <c r="C13" s="2386"/>
      <c r="D13" s="2386"/>
      <c r="E13" s="2386"/>
      <c r="F13" s="2387"/>
    </row>
    <row r="14" spans="1:6" ht="15" customHeight="1" x14ac:dyDescent="0.25">
      <c r="A14" s="1873" t="s">
        <v>1797</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7" t="s">
        <v>2130</v>
      </c>
      <c r="B18" s="1908">
        <v>102630300</v>
      </c>
      <c r="C18" s="2038" t="s">
        <v>2131</v>
      </c>
      <c r="D18" s="1886">
        <v>874560</v>
      </c>
      <c r="E18" s="1906" t="str">
        <f t="shared" ref="E18:E81" si="0">IF(D18&lt;25000,D18,"25,000")</f>
        <v>25,000</v>
      </c>
      <c r="F18" s="1906">
        <f t="shared" ref="F18:F81" si="1">IF(D18&gt;=25000,(D18-E18),"0")</f>
        <v>849560</v>
      </c>
      <c r="G18" s="1887"/>
    </row>
    <row r="19" spans="1:7" x14ac:dyDescent="0.25">
      <c r="A19" s="2037" t="s">
        <v>2132</v>
      </c>
      <c r="B19" s="1908">
        <v>101000300</v>
      </c>
      <c r="C19" s="2038" t="s">
        <v>2133</v>
      </c>
      <c r="D19" s="1886">
        <v>85892</v>
      </c>
      <c r="E19" s="1906" t="str">
        <f t="shared" si="0"/>
        <v>25,000</v>
      </c>
      <c r="F19" s="1906">
        <f t="shared" si="1"/>
        <v>60892</v>
      </c>
    </row>
    <row r="20" spans="1:7" x14ac:dyDescent="0.25">
      <c r="A20" s="2037" t="s">
        <v>2134</v>
      </c>
      <c r="B20" s="1908">
        <v>102300300</v>
      </c>
      <c r="C20" s="2038" t="s">
        <v>2135</v>
      </c>
      <c r="D20" s="1886">
        <v>51735</v>
      </c>
      <c r="E20" s="1906" t="str">
        <f t="shared" si="0"/>
        <v>25,000</v>
      </c>
      <c r="F20" s="1906">
        <f t="shared" si="1"/>
        <v>26735</v>
      </c>
    </row>
    <row r="21" spans="1:7" x14ac:dyDescent="0.25">
      <c r="A21" s="2037" t="s">
        <v>2136</v>
      </c>
      <c r="B21" s="1908">
        <v>202540300</v>
      </c>
      <c r="C21" s="2038" t="s">
        <v>2137</v>
      </c>
      <c r="D21" s="1886">
        <v>967949</v>
      </c>
      <c r="E21" s="1906" t="str">
        <f t="shared" si="0"/>
        <v>25,000</v>
      </c>
      <c r="F21" s="1906">
        <f t="shared" si="1"/>
        <v>942949</v>
      </c>
    </row>
    <row r="22" spans="1:7" x14ac:dyDescent="0.25">
      <c r="A22" s="2037" t="s">
        <v>2138</v>
      </c>
      <c r="B22" s="1908">
        <v>402550300</v>
      </c>
      <c r="C22" s="2038" t="s">
        <v>2139</v>
      </c>
      <c r="D22" s="1886">
        <v>1270894</v>
      </c>
      <c r="E22" s="1906" t="str">
        <f t="shared" si="0"/>
        <v>25,000</v>
      </c>
      <c r="F22" s="1906">
        <f t="shared" si="1"/>
        <v>1245894</v>
      </c>
    </row>
    <row r="23" spans="1:7" x14ac:dyDescent="0.25">
      <c r="A23" s="2037" t="s">
        <v>2136</v>
      </c>
      <c r="B23" s="1908">
        <v>202540300</v>
      </c>
      <c r="C23" s="2038" t="s">
        <v>2140</v>
      </c>
      <c r="D23" s="1886">
        <v>931733</v>
      </c>
      <c r="E23" s="1906" t="str">
        <f t="shared" si="0"/>
        <v>25,000</v>
      </c>
      <c r="F23" s="1906">
        <f t="shared" si="1"/>
        <v>906733</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4182763</v>
      </c>
      <c r="E142" s="1893">
        <f>SUM(E18:E141)</f>
        <v>0</v>
      </c>
      <c r="F142" s="1894">
        <f>SUM(F18:F141)</f>
        <v>4032763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38325</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29068516</v>
      </c>
      <c r="F19" s="1802"/>
      <c r="G19" s="1804">
        <f>'Expenditures 15-22'!K33-SUM('Expenditures 15-22'!G33,'Expenditures 15-22'!I33)+'Expenditures 15-22'!D229</f>
        <v>29068516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2741404</v>
      </c>
      <c r="F21" s="1805"/>
      <c r="G21" s="1808">
        <f>'Expenditures 15-22'!K42-SUM('Expenditures 15-22'!G42,'Expenditures 15-22'!I42)+'Expenditures 15-22'!K120-SUM('Expenditures 15-22'!G120,'Expenditures 15-22'!I120)+'Expenditures 15-22'!K180-SUM('Expenditures 15-22'!G180,'Expenditures 15-22'!I180)+'Expenditures 15-22'!D238</f>
        <v>2741404</v>
      </c>
      <c r="H21" s="817"/>
      <c r="I21" s="157"/>
    </row>
    <row r="22" spans="1:9" s="542" customFormat="1" ht="12" customHeight="1" x14ac:dyDescent="0.2">
      <c r="A22" s="824" t="s">
        <v>560</v>
      </c>
      <c r="B22" s="825"/>
      <c r="C22" s="823">
        <v>2200</v>
      </c>
      <c r="D22" s="1805"/>
      <c r="E22" s="1807">
        <f>'Expenditures 15-22'!K47-SUM('Expenditures 15-22'!G47,'Expenditures 15-22'!I47)+'Expenditures 15-22'!D243</f>
        <v>3431081</v>
      </c>
      <c r="F22" s="1805"/>
      <c r="G22" s="1808">
        <f>'Expenditures 15-22'!K47-SUM('Expenditures 15-22'!G47,'Expenditures 15-22'!I47)+'Expenditures 15-22'!D243</f>
        <v>3431081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1698667</v>
      </c>
      <c r="F23" s="1805"/>
      <c r="G23" s="1807">
        <f>'Expenditures 15-22'!K53-SUM('Expenditures 15-22'!G53,'Expenditures 15-22'!I53)+'Expenditures 15-22'!D257+'Expenditures 15-22'!K330-SUM('Expenditures 15-22'!G330,'Expenditures 15-22'!I330)</f>
        <v>1698667</v>
      </c>
      <c r="H23" s="817"/>
      <c r="I23" s="157"/>
    </row>
    <row r="24" spans="1:9" s="542" customFormat="1" ht="12" customHeight="1" x14ac:dyDescent="0.2">
      <c r="A24" s="824" t="s">
        <v>562</v>
      </c>
      <c r="B24" s="825"/>
      <c r="C24" s="823">
        <v>2400</v>
      </c>
      <c r="D24" s="1805"/>
      <c r="E24" s="1807">
        <f>'Expenditures 15-22'!K57-SUM('Expenditures 15-22'!G57,'Expenditures 15-22'!I57)+'Expenditures 15-22'!D261</f>
        <v>2482745</v>
      </c>
      <c r="F24" s="1805"/>
      <c r="G24" s="1808">
        <f>'Expenditures 15-22'!K57-SUM('Expenditures 15-22'!G57,'Expenditures 15-22'!I57)+'Expenditures 15-22'!D261</f>
        <v>2482745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769255</v>
      </c>
      <c r="E26" s="1807">
        <f>'Expenditures 15-22'!K122-SUM('Expenditures 15-22'!G122,'Expenditures 15-22'!I122)+E7</f>
        <v>0</v>
      </c>
      <c r="F26" s="1807">
        <f>'Expenditures 15-22'!K59-SUM('Expenditures 15-22'!G59,'Expenditures 15-22'!I59)+'Expenditures 15-22'!D263-E7</f>
        <v>769255</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91146</v>
      </c>
      <c r="E27" s="1807">
        <f>E8</f>
        <v>0</v>
      </c>
      <c r="F27" s="1807">
        <f>'Expenditures 15-22'!K60-SUM('Expenditures 15-22'!G60,'Expenditures 15-22'!I60)+'Expenditures 15-22'!D264-E8</f>
        <v>91146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3078422</v>
      </c>
      <c r="F28" s="1809">
        <f>'Expenditures 15-22'!K61-SUM('Expenditures 15-22'!G61,'Expenditures 15-22'!I61)+'Expenditures 15-22'!K124-SUM('Expenditures 15-22'!G124,'Expenditures 15-22'!I124)+'Expenditures 15-22'!D266-E9</f>
        <v>3078422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1407785</v>
      </c>
      <c r="F29" s="1805"/>
      <c r="G29" s="1808">
        <f>'Expenditures 15-22'!K62-SUM('Expenditures 15-22'!G62,'Expenditures 15-22'!I62)+'Expenditures 15-22'!K125-SUM('Expenditures 15-22'!G125,'Expenditures 15-22'!I125)+'Expenditures 15-22'!K182-SUM('Expenditures 15-22'!G182,'Expenditures 15-22'!I182)+'Expenditures 15-22'!D267</f>
        <v>1407785</v>
      </c>
      <c r="H29" s="815"/>
    </row>
    <row r="30" spans="1:9" ht="12" customHeight="1" x14ac:dyDescent="0.2">
      <c r="A30" s="824" t="s">
        <v>100</v>
      </c>
      <c r="B30" s="827"/>
      <c r="C30" s="823">
        <v>2560</v>
      </c>
      <c r="D30" s="1805"/>
      <c r="E30" s="1807">
        <f>'Expenditures 15-22'!K63-SUM('Expenditures 15-22'!G63,'Expenditures 15-22'!I63)+'Expenditures 15-22'!D268-E10</f>
        <v>430954</v>
      </c>
      <c r="F30" s="1805"/>
      <c r="G30" s="1807">
        <f>'Expenditures 15-22'!K63-SUM('Expenditures 15-22'!G63,'Expenditures 15-22'!I63)+'Expenditures 15-22'!D268-E10</f>
        <v>430954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1479602</v>
      </c>
      <c r="F35" s="1805"/>
      <c r="G35" s="1807">
        <f>'Expenditures 15-22'!K69-SUM('Expenditures 15-22'!G69,'Expenditures 15-22'!I69)+'Expenditures 15-22'!D274</f>
        <v>1479602</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17940</v>
      </c>
      <c r="E37" s="1807">
        <f>E14</f>
        <v>0</v>
      </c>
      <c r="F37" s="1807">
        <f>'Expenditures 15-22'!K71-SUM('Expenditures 15-22'!G71,'Expenditures 15-22'!I71)+'Expenditures 15-22'!D276-E14</f>
        <v>17940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183158</v>
      </c>
      <c r="F39" s="1805"/>
      <c r="G39" s="1807">
        <f>'Expenditures 15-22'!K75-SUM('Expenditures 15-22'!G75,'Expenditures 15-22'!I75)+'Expenditures 15-22'!K130-SUM('Expenditures 15-22'!G130,'Expenditures 15-22'!I130)+'Expenditures 15-22'!K185-SUM('Expenditures 15-22'!G185,'Expenditures 15-22'!I185)+'Expenditures 15-22'!D280</f>
        <v>183158</v>
      </c>
    </row>
    <row r="40" spans="1:7" ht="12" customHeight="1" x14ac:dyDescent="0.2">
      <c r="A40" s="820" t="s">
        <v>1795</v>
      </c>
      <c r="B40" s="821"/>
      <c r="C40" s="823"/>
      <c r="D40" s="1805"/>
      <c r="E40" s="1809">
        <f>-'Contracts Paid in CY 29'!F142</f>
        <v>-4032763</v>
      </c>
      <c r="F40" s="1805"/>
      <c r="G40" s="1809">
        <f>-'Contracts Paid in CY 29'!F142</f>
        <v>-4032763</v>
      </c>
    </row>
    <row r="41" spans="1:7" ht="12" customHeight="1" x14ac:dyDescent="0.2">
      <c r="A41" s="828" t="s">
        <v>155</v>
      </c>
      <c r="B41" s="829"/>
      <c r="C41" s="830"/>
      <c r="D41" s="1809">
        <f>SUM(D19:D39)</f>
        <v>878341</v>
      </c>
      <c r="E41" s="1809">
        <f>SUM(E19:E40)</f>
        <v>41969571</v>
      </c>
      <c r="F41" s="1809">
        <f>SUM(F19:F39)</f>
        <v>3956763</v>
      </c>
      <c r="G41" s="1809">
        <f>SUM(G19:G40)</f>
        <v>38891149</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878341</v>
      </c>
      <c r="F43" s="1458" t="s">
        <v>470</v>
      </c>
      <c r="G43" s="1810">
        <f>F41</f>
        <v>3956763</v>
      </c>
    </row>
    <row r="44" spans="1:7" ht="12" customHeight="1" x14ac:dyDescent="0.2">
      <c r="A44" s="817"/>
      <c r="B44" s="157"/>
      <c r="C44" s="831"/>
      <c r="D44" s="1458" t="s">
        <v>471</v>
      </c>
      <c r="E44" s="1810">
        <f>E41</f>
        <v>41969571</v>
      </c>
      <c r="F44" s="1458" t="s">
        <v>471</v>
      </c>
      <c r="G44" s="1810">
        <f>G41</f>
        <v>38891149</v>
      </c>
    </row>
    <row r="45" spans="1:7" ht="12" customHeight="1" x14ac:dyDescent="0.2">
      <c r="A45" s="817"/>
      <c r="B45" s="157"/>
      <c r="C45" s="157"/>
      <c r="D45" s="1459" t="s">
        <v>999</v>
      </c>
      <c r="E45" s="1811">
        <f>(E43/E44)</f>
        <v>2.0928043319766124E-2</v>
      </c>
      <c r="F45" s="1459" t="s">
        <v>999</v>
      </c>
      <c r="G45" s="1811">
        <f>(G43/G44)</f>
        <v>0.10173942148122186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29" sqref="F2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2" t="s">
        <v>1363</v>
      </c>
      <c r="B1" s="2402"/>
      <c r="C1" s="2402"/>
      <c r="D1" s="2402"/>
      <c r="E1" s="2402"/>
      <c r="F1" s="2402"/>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3" t="s">
        <v>1529</v>
      </c>
      <c r="B5" s="2404"/>
      <c r="C5" s="2405"/>
      <c r="D5" s="2405"/>
      <c r="E5" s="2405"/>
      <c r="F5" s="2405"/>
      <c r="G5" s="1507"/>
      <c r="L5" s="1507"/>
      <c r="M5" s="1855"/>
      <c r="N5" s="1855"/>
      <c r="O5" s="1855"/>
    </row>
    <row r="6" spans="1:15" ht="12" customHeight="1" x14ac:dyDescent="0.25">
      <c r="A6" s="1480"/>
      <c r="B6" s="1481"/>
      <c r="C6" s="2406" t="str">
        <f>COVER!A17</f>
        <v xml:space="preserve">   Deerfield SD 109</v>
      </c>
      <c r="D6" s="2406"/>
      <c r="E6" s="2406"/>
      <c r="F6" s="1482"/>
      <c r="G6" s="1507"/>
      <c r="L6" s="1507"/>
      <c r="M6" s="1855"/>
      <c r="N6" s="1855"/>
      <c r="O6" s="1855"/>
    </row>
    <row r="7" spans="1:15" ht="11.25" customHeight="1" thickBot="1" x14ac:dyDescent="0.3">
      <c r="A7" s="1480"/>
      <c r="B7" s="1481"/>
      <c r="C7" s="2407">
        <f>COVER!A13</f>
        <v>34049109002</v>
      </c>
      <c r="D7" s="2407"/>
      <c r="E7" s="2407"/>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2048</v>
      </c>
      <c r="D14" s="1495" t="s">
        <v>2048</v>
      </c>
      <c r="E14" s="1498" t="s">
        <v>2071</v>
      </c>
      <c r="F14" s="1497" t="s">
        <v>2072</v>
      </c>
      <c r="G14" s="1507"/>
      <c r="H14" s="1507">
        <f t="shared" si="0"/>
        <v>5</v>
      </c>
      <c r="I14" s="1507">
        <f t="shared" si="1"/>
        <v>5</v>
      </c>
      <c r="J14" s="1507">
        <f t="shared" si="2"/>
        <v>0</v>
      </c>
      <c r="L14" s="1507"/>
      <c r="M14" s="1855"/>
      <c r="N14" s="1855"/>
      <c r="O14" s="1855"/>
    </row>
    <row r="15" spans="1:15" ht="12" customHeight="1" x14ac:dyDescent="0.2">
      <c r="A15" s="1493" t="s">
        <v>1371</v>
      </c>
      <c r="B15" s="1494"/>
      <c r="C15" s="1495" t="s">
        <v>2048</v>
      </c>
      <c r="D15" s="1495" t="s">
        <v>2048</v>
      </c>
      <c r="E15" s="1498"/>
      <c r="F15" s="1497" t="s">
        <v>2073</v>
      </c>
      <c r="G15" s="1507"/>
      <c r="H15" s="1507">
        <f t="shared" si="0"/>
        <v>5</v>
      </c>
      <c r="I15" s="1507">
        <f t="shared" si="1"/>
        <v>5</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2048</v>
      </c>
      <c r="D19" s="1495" t="s">
        <v>2048</v>
      </c>
      <c r="E19" s="1498"/>
      <c r="F19" s="1497" t="s">
        <v>2074</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2048</v>
      </c>
      <c r="D20" s="1495" t="s">
        <v>2048</v>
      </c>
      <c r="E20" s="1498"/>
      <c r="F20" s="1497" t="s">
        <v>2075</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c r="F26" s="1497" t="s">
        <v>2076</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2048</v>
      </c>
      <c r="D28" s="1495" t="s">
        <v>2048</v>
      </c>
      <c r="E28" s="1498" t="s">
        <v>2071</v>
      </c>
      <c r="F28" s="1497" t="s">
        <v>2077</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30</v>
      </c>
      <c r="J34" s="1507">
        <f>SUM(J11:J32)</f>
        <v>0</v>
      </c>
      <c r="K34" s="1507">
        <f>SUM(H34:J34)</f>
        <v>60</v>
      </c>
      <c r="L34" s="1507"/>
      <c r="M34" s="1855"/>
      <c r="N34" s="1855"/>
      <c r="O34" s="1855"/>
    </row>
    <row r="35" spans="1:15" ht="12" customHeight="1" x14ac:dyDescent="0.2">
      <c r="A35" s="1500" t="s">
        <v>1376</v>
      </c>
      <c r="B35" s="1501"/>
      <c r="C35" s="2408"/>
      <c r="D35" s="2408"/>
      <c r="E35" s="2408"/>
      <c r="F35" s="2409"/>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13"/>
      <c r="B38" s="2414"/>
      <c r="C38" s="2414"/>
      <c r="D38" s="2414"/>
      <c r="E38" s="2414"/>
      <c r="F38" s="2415"/>
    </row>
    <row r="39" spans="1:15" ht="4.5" hidden="1" customHeight="1" x14ac:dyDescent="0.2">
      <c r="A39" s="1502"/>
      <c r="B39" s="1502"/>
      <c r="C39" s="1502"/>
      <c r="D39" s="1502"/>
      <c r="E39" s="1502"/>
      <c r="F39" s="1502"/>
    </row>
    <row r="40" spans="1:15" s="1499" customFormat="1" ht="12" customHeight="1" x14ac:dyDescent="0.25">
      <c r="A40" s="1503" t="s">
        <v>1375</v>
      </c>
      <c r="B40" s="1504"/>
      <c r="C40" s="2416"/>
      <c r="D40" s="2416"/>
      <c r="E40" s="2416"/>
      <c r="F40" s="2417"/>
      <c r="H40" s="1508"/>
      <c r="I40" s="1508"/>
      <c r="J40" s="1508"/>
      <c r="K40" s="1508"/>
    </row>
    <row r="41" spans="1:15" s="1499" customFormat="1" ht="12" customHeight="1" x14ac:dyDescent="0.25">
      <c r="A41" s="2418"/>
      <c r="B41" s="2419"/>
      <c r="C41" s="2419"/>
      <c r="D41" s="2419"/>
      <c r="E41" s="2419"/>
      <c r="F41" s="2420"/>
      <c r="H41" s="1508"/>
      <c r="I41" s="1508"/>
      <c r="J41" s="1508"/>
      <c r="K41" s="1508"/>
    </row>
    <row r="42" spans="1:15" s="1499" customFormat="1" ht="12" customHeight="1" x14ac:dyDescent="0.25">
      <c r="A42" s="2418"/>
      <c r="B42" s="2419"/>
      <c r="C42" s="2419"/>
      <c r="D42" s="2419"/>
      <c r="E42" s="2419"/>
      <c r="F42" s="2420"/>
      <c r="H42" s="1508"/>
      <c r="I42" s="1508"/>
      <c r="J42" s="1508"/>
      <c r="K42" s="1508"/>
    </row>
    <row r="43" spans="1:15" s="1499" customFormat="1" ht="15" x14ac:dyDescent="0.25">
      <c r="A43" s="2410"/>
      <c r="B43" s="2411"/>
      <c r="C43" s="2411"/>
      <c r="D43" s="2411"/>
      <c r="E43" s="2411"/>
      <c r="F43" s="2412"/>
      <c r="H43" s="1508"/>
      <c r="I43" s="1508"/>
      <c r="J43" s="1508"/>
      <c r="K43" s="1508"/>
    </row>
    <row r="44" spans="1:15" s="1499" customFormat="1" ht="12" hidden="1" customHeight="1" x14ac:dyDescent="0.25">
      <c r="A44" s="2410"/>
      <c r="B44" s="2411"/>
      <c r="C44" s="2411"/>
      <c r="D44" s="2411"/>
      <c r="E44" s="2411"/>
      <c r="F44" s="241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3" sqref="I13"/>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2" t="str">
        <f>COVER!A17</f>
        <v xml:space="preserve">   Deerfield SD 109</v>
      </c>
      <c r="K6" s="2422"/>
      <c r="L6" s="2423"/>
      <c r="M6" s="838"/>
      <c r="N6" s="1998"/>
    </row>
    <row r="7" spans="1:14" x14ac:dyDescent="0.2">
      <c r="A7" s="2424" t="s">
        <v>864</v>
      </c>
      <c r="B7" s="2425"/>
      <c r="C7" s="2425"/>
      <c r="D7" s="2425"/>
      <c r="E7" s="2426"/>
      <c r="F7" s="839"/>
      <c r="G7" s="838"/>
      <c r="H7" s="838"/>
      <c r="I7" s="1924" t="s">
        <v>369</v>
      </c>
      <c r="J7" s="2427">
        <f>COVER!A13</f>
        <v>34049109002</v>
      </c>
      <c r="K7" s="2427"/>
      <c r="L7" s="2427"/>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8" t="s">
        <v>478</v>
      </c>
      <c r="B11" s="2429"/>
      <c r="C11" s="2430"/>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1036007</v>
      </c>
      <c r="F12" s="1942"/>
      <c r="G12" s="1968">
        <f>G68</f>
        <v>0</v>
      </c>
      <c r="H12" s="1944">
        <f t="shared" ref="H12:H18" si="0">SUM(E12:G12)</f>
        <v>1036007</v>
      </c>
      <c r="I12" s="1943">
        <v>1022701</v>
      </c>
      <c r="J12" s="1942"/>
      <c r="K12" s="1943"/>
      <c r="L12" s="1944">
        <f t="shared" ref="L12:L18" si="1">SUM(I12:K12)</f>
        <v>1022701</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735350</v>
      </c>
      <c r="F15" s="1944">
        <f>'Expenditures 15-22'!K122</f>
        <v>0</v>
      </c>
      <c r="G15" s="1968">
        <f>J68</f>
        <v>0</v>
      </c>
      <c r="H15" s="1944">
        <f t="shared" si="0"/>
        <v>735350</v>
      </c>
      <c r="I15" s="1943">
        <v>778622</v>
      </c>
      <c r="J15" s="1943"/>
      <c r="K15" s="1943"/>
      <c r="L15" s="1944">
        <f t="shared" si="1"/>
        <v>778622</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1" t="s">
        <v>7</v>
      </c>
      <c r="C18" s="2432"/>
      <c r="D18" s="2433"/>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1771357</v>
      </c>
      <c r="F19" s="1950">
        <f t="shared" si="2"/>
        <v>0</v>
      </c>
      <c r="G19" s="1950">
        <f t="shared" ref="G19" si="3">SUM(G12:G17)-G18</f>
        <v>0</v>
      </c>
      <c r="H19" s="1950">
        <f t="shared" si="2"/>
        <v>1771357</v>
      </c>
      <c r="I19" s="1950">
        <f t="shared" si="2"/>
        <v>1801323</v>
      </c>
      <c r="J19" s="1950">
        <f t="shared" si="2"/>
        <v>0</v>
      </c>
      <c r="K19" s="1950">
        <f t="shared" si="2"/>
        <v>0</v>
      </c>
      <c r="L19" s="1950">
        <f t="shared" si="2"/>
        <v>1801323</v>
      </c>
      <c r="M19" s="838"/>
      <c r="N19" s="1998"/>
    </row>
    <row r="20" spans="1:14" ht="13.5" thickTop="1" x14ac:dyDescent="0.2">
      <c r="A20" s="2003">
        <v>9</v>
      </c>
      <c r="B20" s="2434" t="s">
        <v>2018</v>
      </c>
      <c r="C20" s="2434"/>
      <c r="D20" s="2435"/>
      <c r="E20" s="1951"/>
      <c r="F20" s="1951"/>
      <c r="G20" s="1951"/>
      <c r="H20" s="1951"/>
      <c r="I20" s="1951"/>
      <c r="J20" s="1951"/>
      <c r="K20" s="1951"/>
      <c r="L20" s="1952">
        <f>IF(AND(H19&gt;0,L19&gt;0),(((L19-H19)/H19)),"Enter Budget Data")</f>
        <v>1.6916973822893974E-2</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6"/>
      <c r="D27" s="2436"/>
      <c r="E27" s="843"/>
      <c r="F27" s="2437"/>
      <c r="G27" s="2437"/>
      <c r="H27" s="2437"/>
      <c r="I27" s="838"/>
      <c r="J27" s="838"/>
      <c r="K27" s="838"/>
      <c r="L27" s="838"/>
      <c r="M27" s="838"/>
      <c r="N27" s="1998"/>
    </row>
    <row r="28" spans="1:14" x14ac:dyDescent="0.2">
      <c r="A28" s="1997"/>
      <c r="B28" s="2007"/>
      <c r="C28" s="1957" t="s">
        <v>1026</v>
      </c>
      <c r="D28" s="844"/>
      <c r="E28" s="1958"/>
      <c r="F28" s="2438" t="s">
        <v>1492</v>
      </c>
      <c r="G28" s="2438"/>
      <c r="H28" s="2438"/>
      <c r="I28" s="838"/>
      <c r="J28" s="838"/>
      <c r="K28" s="838"/>
      <c r="L28" s="838"/>
      <c r="M28" s="838"/>
      <c r="N28" s="1998"/>
    </row>
    <row r="29" spans="1:14" x14ac:dyDescent="0.2">
      <c r="A29" s="1997"/>
      <c r="B29" s="2007"/>
      <c r="C29" s="2439"/>
      <c r="D29" s="2439"/>
      <c r="E29" s="845"/>
      <c r="F29" s="2439"/>
      <c r="G29" s="2439"/>
      <c r="H29" s="2439"/>
      <c r="I29" s="838"/>
      <c r="J29" s="838"/>
      <c r="K29" s="838"/>
      <c r="L29" s="838"/>
      <c r="M29" s="838"/>
      <c r="N29" s="1998"/>
    </row>
    <row r="30" spans="1:14" x14ac:dyDescent="0.2">
      <c r="A30" s="1997"/>
      <c r="B30" s="2007"/>
      <c r="C30" s="1960" t="s">
        <v>1544</v>
      </c>
      <c r="D30" s="838"/>
      <c r="E30" s="1959"/>
      <c r="F30" s="2421" t="s">
        <v>1493</v>
      </c>
      <c r="G30" s="2421"/>
      <c r="H30" s="242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2" t="s">
        <v>2021</v>
      </c>
      <c r="D34" s="2443"/>
      <c r="E34" s="2443"/>
      <c r="F34" s="2443"/>
      <c r="G34" s="2443"/>
      <c r="H34" s="2443"/>
      <c r="I34" s="2443"/>
      <c r="J34" s="2443"/>
      <c r="K34" s="2016"/>
      <c r="L34" s="838"/>
      <c r="M34" s="838"/>
      <c r="N34" s="1998"/>
    </row>
    <row r="35" spans="1:14" x14ac:dyDescent="0.2">
      <c r="A35" s="1997"/>
      <c r="B35" s="838"/>
      <c r="C35" s="2443"/>
      <c r="D35" s="2443"/>
      <c r="E35" s="2443"/>
      <c r="F35" s="2443"/>
      <c r="G35" s="2443"/>
      <c r="H35" s="2443"/>
      <c r="I35" s="2443"/>
      <c r="J35" s="2443"/>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2" t="s">
        <v>2022</v>
      </c>
      <c r="D37" s="2443"/>
      <c r="E37" s="2443"/>
      <c r="F37" s="2443"/>
      <c r="G37" s="2443"/>
      <c r="H37" s="2443"/>
      <c r="I37" s="2443"/>
      <c r="J37" s="2443"/>
      <c r="K37" s="2016"/>
      <c r="L37" s="2018"/>
      <c r="M37" s="838"/>
      <c r="N37" s="1998"/>
    </row>
    <row r="38" spans="1:14" x14ac:dyDescent="0.2">
      <c r="A38" s="1997"/>
      <c r="B38" s="838"/>
      <c r="C38" s="2443"/>
      <c r="D38" s="2443"/>
      <c r="E38" s="2443"/>
      <c r="F38" s="2443"/>
      <c r="G38" s="2443"/>
      <c r="H38" s="2443"/>
      <c r="I38" s="2443"/>
      <c r="J38" s="2443"/>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4" t="s">
        <v>2023</v>
      </c>
      <c r="D40" s="2445"/>
      <c r="E40" s="2445"/>
      <c r="F40" s="2445"/>
      <c r="G40" s="2445"/>
      <c r="H40" s="2445"/>
      <c r="I40" s="2445"/>
      <c r="J40" s="2445"/>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6" t="s">
        <v>2024</v>
      </c>
      <c r="B43" s="2447"/>
      <c r="C43" s="2447"/>
      <c r="D43" s="2447"/>
      <c r="E43" s="2447"/>
      <c r="F43" s="2447"/>
      <c r="G43" s="2447"/>
      <c r="H43" s="2447"/>
      <c r="I43" s="2447"/>
      <c r="J43" s="2447"/>
      <c r="K43" s="2447"/>
      <c r="L43" s="2447"/>
      <c r="M43" s="2447"/>
      <c r="N43" s="2448"/>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49" t="s">
        <v>2026</v>
      </c>
      <c r="B46" s="2450"/>
      <c r="C46" s="2450"/>
      <c r="D46" s="2450"/>
      <c r="E46" s="2450"/>
      <c r="F46" s="2450"/>
      <c r="G46" s="2450"/>
      <c r="H46" s="2450"/>
      <c r="I46" s="2450"/>
      <c r="J46" s="2450"/>
      <c r="K46" s="2450"/>
      <c r="L46" s="2450"/>
      <c r="M46" s="2450"/>
      <c r="N46" s="2451"/>
    </row>
    <row r="47" spans="1:14" x14ac:dyDescent="0.2">
      <c r="A47" s="2449"/>
      <c r="B47" s="2450"/>
      <c r="C47" s="2450"/>
      <c r="D47" s="2450"/>
      <c r="E47" s="2450"/>
      <c r="F47" s="2450"/>
      <c r="G47" s="2450"/>
      <c r="H47" s="2450"/>
      <c r="I47" s="2450"/>
      <c r="J47" s="2450"/>
      <c r="K47" s="2450"/>
      <c r="L47" s="2450"/>
      <c r="M47" s="2450"/>
      <c r="N47" s="2451"/>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2" t="str">
        <f>J6</f>
        <v xml:space="preserve">   Deerfield SD 109</v>
      </c>
      <c r="M52" s="2422"/>
      <c r="N52" s="2452"/>
    </row>
    <row r="53" spans="1:14" x14ac:dyDescent="0.2">
      <c r="A53" s="1982"/>
      <c r="B53" s="1983"/>
      <c r="C53" s="1983"/>
      <c r="D53" s="1983"/>
      <c r="E53" s="1983"/>
      <c r="F53" s="1983"/>
      <c r="G53" s="1983"/>
      <c r="H53" s="1983"/>
      <c r="I53" s="1983"/>
      <c r="J53" s="1983"/>
      <c r="K53" s="1924" t="s">
        <v>369</v>
      </c>
      <c r="L53" s="2427">
        <f>J7</f>
        <v>34049109002</v>
      </c>
      <c r="M53" s="2427"/>
      <c r="N53" s="2453"/>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4"/>
      <c r="B55" s="2455"/>
      <c r="C55" s="2455"/>
      <c r="D55" s="1970"/>
      <c r="E55" s="1970"/>
      <c r="F55" s="1970"/>
      <c r="G55" s="2456" t="s">
        <v>2027</v>
      </c>
      <c r="H55" s="2456"/>
      <c r="I55" s="2456"/>
      <c r="J55" s="2456"/>
      <c r="K55" s="2456"/>
      <c r="L55" s="2456"/>
      <c r="M55" s="2456"/>
      <c r="N55" s="2457"/>
    </row>
    <row r="56" spans="1:14" ht="63.75" x14ac:dyDescent="0.2">
      <c r="A56" s="2458" t="s">
        <v>2028</v>
      </c>
      <c r="B56" s="2459"/>
      <c r="C56" s="2460"/>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61" t="s">
        <v>296</v>
      </c>
      <c r="B57" s="2462"/>
      <c r="C57" s="2462"/>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0" t="s">
        <v>2038</v>
      </c>
      <c r="B58" s="2441"/>
      <c r="C58" s="2441"/>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3" t="s">
        <v>297</v>
      </c>
      <c r="B59" s="2464"/>
      <c r="C59" s="2464"/>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3" t="s">
        <v>236</v>
      </c>
      <c r="B60" s="2464"/>
      <c r="C60" s="2464"/>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3" t="s">
        <v>697</v>
      </c>
      <c r="B61" s="2464"/>
      <c r="C61" s="2464"/>
      <c r="D61" s="1967">
        <v>2365</v>
      </c>
      <c r="E61" s="1977">
        <f>'Expenditures 15-22'!K323</f>
        <v>0</v>
      </c>
      <c r="F61" s="1972"/>
      <c r="G61" s="2031"/>
      <c r="H61" s="2032"/>
      <c r="I61" s="2032"/>
      <c r="J61" s="2032"/>
      <c r="K61" s="2032"/>
      <c r="L61" s="2032"/>
      <c r="M61" s="2032"/>
      <c r="N61" s="1975">
        <f t="shared" si="4"/>
        <v>0</v>
      </c>
    </row>
    <row r="62" spans="1:14" ht="24" customHeight="1" x14ac:dyDescent="0.2">
      <c r="A62" s="2463" t="s">
        <v>237</v>
      </c>
      <c r="B62" s="2464"/>
      <c r="C62" s="2464"/>
      <c r="D62" s="1967">
        <v>2366</v>
      </c>
      <c r="E62" s="1977">
        <f>'Expenditures 15-22'!K324</f>
        <v>0</v>
      </c>
      <c r="F62" s="1972"/>
      <c r="G62" s="2031"/>
      <c r="H62" s="2032"/>
      <c r="I62" s="2032"/>
      <c r="J62" s="2032"/>
      <c r="K62" s="2032"/>
      <c r="L62" s="2032"/>
      <c r="M62" s="2032"/>
      <c r="N62" s="1975">
        <f t="shared" si="4"/>
        <v>0</v>
      </c>
    </row>
    <row r="63" spans="1:14" ht="24" customHeight="1" x14ac:dyDescent="0.2">
      <c r="A63" s="2440" t="s">
        <v>1022</v>
      </c>
      <c r="B63" s="2441"/>
      <c r="C63" s="2441"/>
      <c r="D63" s="1967">
        <v>2367</v>
      </c>
      <c r="E63" s="1977">
        <f>'Expenditures 15-22'!K325</f>
        <v>0</v>
      </c>
      <c r="F63" s="1972"/>
      <c r="G63" s="2031"/>
      <c r="H63" s="2032"/>
      <c r="I63" s="2032"/>
      <c r="J63" s="2032"/>
      <c r="K63" s="2032"/>
      <c r="L63" s="2032"/>
      <c r="M63" s="2032"/>
      <c r="N63" s="1975">
        <f t="shared" si="4"/>
        <v>0</v>
      </c>
    </row>
    <row r="64" spans="1:14" ht="24" customHeight="1" x14ac:dyDescent="0.2">
      <c r="A64" s="2463" t="s">
        <v>1023</v>
      </c>
      <c r="B64" s="2464"/>
      <c r="C64" s="2464"/>
      <c r="D64" s="1967">
        <v>2368</v>
      </c>
      <c r="E64" s="1977">
        <f>'Expenditures 15-22'!K326</f>
        <v>0</v>
      </c>
      <c r="F64" s="1972"/>
      <c r="G64" s="2031"/>
      <c r="H64" s="2032"/>
      <c r="I64" s="2032"/>
      <c r="J64" s="2032"/>
      <c r="K64" s="2032"/>
      <c r="L64" s="2032"/>
      <c r="M64" s="2032"/>
      <c r="N64" s="1975">
        <f t="shared" si="4"/>
        <v>0</v>
      </c>
    </row>
    <row r="65" spans="1:14" ht="24" customHeight="1" x14ac:dyDescent="0.2">
      <c r="A65" s="2463" t="s">
        <v>965</v>
      </c>
      <c r="B65" s="2464"/>
      <c r="C65" s="2464"/>
      <c r="D65" s="1967">
        <v>2369</v>
      </c>
      <c r="E65" s="1977">
        <f>'Expenditures 15-22'!K327</f>
        <v>0</v>
      </c>
      <c r="F65" s="1972"/>
      <c r="G65" s="2031"/>
      <c r="H65" s="2032"/>
      <c r="I65" s="2032"/>
      <c r="J65" s="2032"/>
      <c r="K65" s="2032"/>
      <c r="L65" s="2032"/>
      <c r="M65" s="2032"/>
      <c r="N65" s="1975">
        <f t="shared" si="4"/>
        <v>0</v>
      </c>
    </row>
    <row r="66" spans="1:14" ht="24" customHeight="1" x14ac:dyDescent="0.2">
      <c r="A66" s="2463" t="s">
        <v>469</v>
      </c>
      <c r="B66" s="2464"/>
      <c r="C66" s="2464"/>
      <c r="D66" s="1967">
        <v>2371</v>
      </c>
      <c r="E66" s="1977">
        <f>'Expenditures 15-22'!K328</f>
        <v>0</v>
      </c>
      <c r="F66" s="1972"/>
      <c r="G66" s="2031"/>
      <c r="H66" s="2032"/>
      <c r="I66" s="2032"/>
      <c r="J66" s="2032"/>
      <c r="K66" s="2032"/>
      <c r="L66" s="2032"/>
      <c r="M66" s="2032"/>
      <c r="N66" s="1975">
        <f t="shared" si="4"/>
        <v>0</v>
      </c>
    </row>
    <row r="67" spans="1:14" ht="24.75" customHeight="1" x14ac:dyDescent="0.2">
      <c r="A67" s="2465" t="s">
        <v>2039</v>
      </c>
      <c r="B67" s="2466"/>
      <c r="C67" s="2466"/>
      <c r="D67" s="1969">
        <v>2372</v>
      </c>
      <c r="E67" s="1978">
        <f>'Expenditures 15-22'!K329</f>
        <v>0</v>
      </c>
      <c r="F67" s="1972"/>
      <c r="G67" s="2033"/>
      <c r="H67" s="2034"/>
      <c r="I67" s="2034"/>
      <c r="J67" s="2034"/>
      <c r="K67" s="2034"/>
      <c r="L67" s="2034"/>
      <c r="M67" s="2034"/>
      <c r="N67" s="1975">
        <f t="shared" si="4"/>
        <v>0</v>
      </c>
    </row>
    <row r="68" spans="1:14" x14ac:dyDescent="0.2">
      <c r="A68" s="2467" t="s">
        <v>1151</v>
      </c>
      <c r="B68" s="2468"/>
      <c r="C68" s="2468"/>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B17" sqref="B1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6" t="s">
        <v>64</v>
      </c>
    </row>
    <row r="6" spans="1:2" x14ac:dyDescent="0.2">
      <c r="A6" s="847"/>
      <c r="B6" s="307" t="s">
        <v>2078</v>
      </c>
    </row>
    <row r="7" spans="1:2" x14ac:dyDescent="0.2">
      <c r="A7" s="847"/>
      <c r="B7" s="307" t="s">
        <v>2079</v>
      </c>
    </row>
    <row r="8" spans="1:2" x14ac:dyDescent="0.2">
      <c r="A8" s="847"/>
    </row>
    <row r="9" spans="1:2" x14ac:dyDescent="0.2">
      <c r="A9" s="847"/>
    </row>
    <row r="10" spans="1:2" x14ac:dyDescent="0.2">
      <c r="A10" s="847"/>
    </row>
    <row r="11" spans="1:2" x14ac:dyDescent="0.2">
      <c r="A11" s="847"/>
    </row>
    <row r="12" spans="1:2" x14ac:dyDescent="0.2">
      <c r="A12" s="847"/>
    </row>
    <row r="13" spans="1:2" x14ac:dyDescent="0.2">
      <c r="A13" s="847"/>
    </row>
    <row r="14" spans="1:2" x14ac:dyDescent="0.2">
      <c r="A14" s="847"/>
    </row>
    <row r="15" spans="1:2" x14ac:dyDescent="0.2">
      <c r="A15" s="847"/>
    </row>
    <row r="16" spans="1:2" x14ac:dyDescent="0.2">
      <c r="A16" s="847">
        <v>2</v>
      </c>
      <c r="B16" s="307" t="s">
        <v>2129</v>
      </c>
    </row>
    <row r="17" spans="1:2" x14ac:dyDescent="0.2">
      <c r="A17" s="847"/>
    </row>
    <row r="18" spans="1:2" x14ac:dyDescent="0.2">
      <c r="A18" s="847"/>
    </row>
    <row r="19" spans="1:2" x14ac:dyDescent="0.2">
      <c r="A19" s="847"/>
    </row>
    <row r="20" spans="1:2" x14ac:dyDescent="0.2">
      <c r="A20" s="847"/>
    </row>
    <row r="21" spans="1:2" x14ac:dyDescent="0.2">
      <c r="A21" s="847"/>
    </row>
    <row r="22" spans="1:2" x14ac:dyDescent="0.2">
      <c r="A22" s="847">
        <v>3</v>
      </c>
      <c r="B22" s="2036" t="s">
        <v>2080</v>
      </c>
    </row>
    <row r="23" spans="1:2" x14ac:dyDescent="0.2">
      <c r="A23" s="847"/>
      <c r="B23" s="307" t="s">
        <v>2081</v>
      </c>
    </row>
    <row r="24" spans="1:2" x14ac:dyDescent="0.2">
      <c r="A24" s="847"/>
    </row>
    <row r="25" spans="1:2" x14ac:dyDescent="0.2">
      <c r="A25" s="847"/>
      <c r="B25" s="307" t="s">
        <v>2084</v>
      </c>
    </row>
    <row r="26" spans="1:2" x14ac:dyDescent="0.2">
      <c r="A26" s="847"/>
      <c r="B26" s="307" t="s">
        <v>2085</v>
      </c>
    </row>
    <row r="27" spans="1:2" x14ac:dyDescent="0.2">
      <c r="A27" s="847"/>
    </row>
    <row r="28" spans="1:2" x14ac:dyDescent="0.2">
      <c r="A28" s="847"/>
    </row>
    <row r="29" spans="1:2" x14ac:dyDescent="0.2">
      <c r="A29" s="847"/>
    </row>
    <row r="30" spans="1:2" x14ac:dyDescent="0.2">
      <c r="A30" s="847"/>
    </row>
    <row r="31" spans="1:2" x14ac:dyDescent="0.2">
      <c r="A31" s="847">
        <v>4</v>
      </c>
    </row>
    <row r="32" spans="1:2" x14ac:dyDescent="0.2">
      <c r="A32" s="848"/>
    </row>
    <row r="33" spans="1:2" x14ac:dyDescent="0.2">
      <c r="A33" s="848"/>
    </row>
    <row r="34" spans="1:2" x14ac:dyDescent="0.2">
      <c r="A34" s="848"/>
    </row>
    <row r="35" spans="1:2" x14ac:dyDescent="0.2">
      <c r="A35" s="848"/>
    </row>
    <row r="36" spans="1:2" x14ac:dyDescent="0.2">
      <c r="A36" s="848"/>
    </row>
    <row r="37" spans="1:2" x14ac:dyDescent="0.2">
      <c r="A37" s="848"/>
    </row>
    <row r="38" spans="1:2" x14ac:dyDescent="0.2">
      <c r="A38" s="848"/>
    </row>
    <row r="39" spans="1:2" x14ac:dyDescent="0.2">
      <c r="A39" s="848"/>
    </row>
    <row r="40" spans="1:2" x14ac:dyDescent="0.2">
      <c r="A40" s="848">
        <v>5</v>
      </c>
      <c r="B40" s="2036" t="s">
        <v>2082</v>
      </c>
    </row>
    <row r="41" spans="1:2" x14ac:dyDescent="0.2">
      <c r="A41" s="848"/>
      <c r="B41" s="307" t="s">
        <v>2083</v>
      </c>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Deerfield SD 109</v>
      </c>
    </row>
    <row r="66" spans="1:2" x14ac:dyDescent="0.2">
      <c r="B66" s="849">
        <f>COVER!A13</f>
        <v>34049109002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9" t="s">
        <v>1665</v>
      </c>
      <c r="B18" s="246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10" r:id="rId4">
          <objectPr defaultSize="0" r:id="rId5">
            <anchor moveWithCells="1">
              <from>
                <xdr:col>1</xdr:col>
                <xdr:colOff>0</xdr:colOff>
                <xdr:row>1</xdr:row>
                <xdr:rowOff>0</xdr:rowOff>
              </from>
              <to>
                <xdr:col>1</xdr:col>
                <xdr:colOff>857250</xdr:colOff>
                <xdr:row>4</xdr:row>
                <xdr:rowOff>28575</xdr:rowOff>
              </to>
            </anchor>
          </objectPr>
        </oleObject>
      </mc:Choice>
      <mc:Fallback>
        <oleObject progId="Packager Shell Object" dvAspect="DVASPECT_ICON"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1969</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46832858</v>
      </c>
      <c r="C8" s="1813">
        <f>'Acct Summary 7-8'!D8</f>
        <v>5553329</v>
      </c>
      <c r="D8" s="1813">
        <f>'Acct Summary 7-8'!F8</f>
        <v>1485578</v>
      </c>
      <c r="E8" s="1813">
        <f>'Acct Summary 7-8'!I8</f>
        <v>0</v>
      </c>
      <c r="F8" s="1813">
        <f>SUM(B8:E8)</f>
        <v>53871765</v>
      </c>
    </row>
    <row r="9" spans="1:8" s="858" customFormat="1" ht="14.25" customHeight="1" thickBot="1" x14ac:dyDescent="0.25">
      <c r="A9" s="857" t="s">
        <v>1353</v>
      </c>
      <c r="B9" s="1814">
        <f>'Acct Summary 7-8'!C17</f>
        <v>42326504</v>
      </c>
      <c r="C9" s="1814">
        <f>'Acct Summary 7-8'!D17</f>
        <v>6053149</v>
      </c>
      <c r="D9" s="1814">
        <f>'Acct Summary 7-8'!F17</f>
        <v>1400746</v>
      </c>
      <c r="E9" s="1813"/>
      <c r="F9" s="1813">
        <f>SUM(B9:E9)</f>
        <v>49780399</v>
      </c>
    </row>
    <row r="10" spans="1:8" s="858" customFormat="1" ht="14.25" thickTop="1" thickBot="1" x14ac:dyDescent="0.25">
      <c r="A10" s="859" t="s">
        <v>1354</v>
      </c>
      <c r="B10" s="1815">
        <f>(B8-B9)</f>
        <v>4506354</v>
      </c>
      <c r="C10" s="1815">
        <f>(C8-C9)</f>
        <v>-499820</v>
      </c>
      <c r="D10" s="1815">
        <f>(D8-D9)</f>
        <v>84832</v>
      </c>
      <c r="E10" s="1814">
        <f>(E8-E9)</f>
        <v>0</v>
      </c>
      <c r="F10" s="1816">
        <f>SUM(F8-F9)</f>
        <v>4091366</v>
      </c>
    </row>
    <row r="11" spans="1:8" s="858" customFormat="1" ht="14.25" thickTop="1" thickBot="1" x14ac:dyDescent="0.25">
      <c r="A11" s="860" t="s">
        <v>1900</v>
      </c>
      <c r="B11" s="1817">
        <f>'Acct Summary 7-8'!C81</f>
        <v>16222625</v>
      </c>
      <c r="C11" s="1817">
        <f>'Acct Summary 7-8'!D81</f>
        <v>1449395</v>
      </c>
      <c r="D11" s="1817">
        <f>'Acct Summary 7-8'!F81</f>
        <v>1479629</v>
      </c>
      <c r="E11" s="1817">
        <f>'Acct Summary 7-8'!I81</f>
        <v>0</v>
      </c>
      <c r="F11" s="1818">
        <f>SUM(B11:E11)</f>
        <v>19151649</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A39" sqref="A3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34049109002</v>
      </c>
      <c r="E2" s="1542">
        <v>2020</v>
      </c>
      <c r="F2" s="1542">
        <v>1</v>
      </c>
      <c r="G2" s="1899">
        <v>101000300</v>
      </c>
    </row>
    <row r="3" spans="1:7" ht="15" x14ac:dyDescent="0.25">
      <c r="A3" t="s">
        <v>950</v>
      </c>
      <c r="B3" s="135" t="str">
        <f>COVER!A15</f>
        <v>LAKE</v>
      </c>
      <c r="E3" s="1830" t="s">
        <v>1968</v>
      </c>
      <c r="F3" s="1830" t="s">
        <v>1967</v>
      </c>
      <c r="G3" s="1899">
        <v>101000400</v>
      </c>
    </row>
    <row r="4" spans="1:7" ht="15" x14ac:dyDescent="0.25">
      <c r="A4" t="s">
        <v>1000</v>
      </c>
      <c r="B4" s="135" t="str">
        <f>COVER!A17</f>
        <v xml:space="preserve">   Deerfield SD 109</v>
      </c>
      <c r="E4" s="1828">
        <v>44119</v>
      </c>
      <c r="F4" s="1829">
        <v>44151</v>
      </c>
      <c r="G4" s="1899">
        <v>101000600</v>
      </c>
    </row>
    <row r="5" spans="1:7" ht="15" x14ac:dyDescent="0.25">
      <c r="A5" t="s">
        <v>699</v>
      </c>
      <c r="B5" s="135">
        <f>COVER!A38</f>
        <v>0</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066-003289</v>
      </c>
      <c r="G15" s="1899">
        <v>402100400</v>
      </c>
    </row>
    <row r="16" spans="1:7" ht="15" x14ac:dyDescent="0.25">
      <c r="A16" t="s">
        <v>419</v>
      </c>
      <c r="B16" s="135" t="str">
        <f>COVER!T13</f>
        <v>Evoy, Kamschulte, Jacobs &amp; Co. LLP</v>
      </c>
      <c r="G16" s="1899">
        <v>402100600</v>
      </c>
    </row>
    <row r="17" spans="1:7" ht="15" x14ac:dyDescent="0.25">
      <c r="A17" t="s">
        <v>878</v>
      </c>
      <c r="B17" s="135" t="str">
        <f>COVER!T15</f>
        <v>John D. Aceto, Jr., CPA</v>
      </c>
      <c r="G17" s="1899">
        <v>402100800</v>
      </c>
    </row>
    <row r="18" spans="1:7" ht="15" x14ac:dyDescent="0.25">
      <c r="A18" t="s">
        <v>1140</v>
      </c>
      <c r="B18" s="135" t="str">
        <f>COVER!T17</f>
        <v>2122 Yeoman Street</v>
      </c>
      <c r="G18" s="1899">
        <v>102200300</v>
      </c>
    </row>
    <row r="19" spans="1:7" ht="15" x14ac:dyDescent="0.25">
      <c r="A19" t="s">
        <v>880</v>
      </c>
      <c r="B19" s="135" t="str">
        <f>COVER!T25</f>
        <v>jaceto@ekjllp.com</v>
      </c>
      <c r="G19" s="1899">
        <v>102200400</v>
      </c>
    </row>
    <row r="20" spans="1:7" ht="15" x14ac:dyDescent="0.25">
      <c r="A20" t="s">
        <v>881</v>
      </c>
      <c r="B20" s="135" t="str">
        <f>COVER!T19</f>
        <v>Waukegan</v>
      </c>
      <c r="G20" s="1899">
        <v>102200600</v>
      </c>
    </row>
    <row r="21" spans="1:7" ht="15" x14ac:dyDescent="0.25">
      <c r="A21" t="s">
        <v>476</v>
      </c>
      <c r="B21" s="135" t="str">
        <f>COVER!X19</f>
        <v>IL</v>
      </c>
      <c r="G21" s="1899">
        <v>102200800</v>
      </c>
    </row>
    <row r="22" spans="1:7" ht="15" x14ac:dyDescent="0.25">
      <c r="A22" t="s">
        <v>882</v>
      </c>
      <c r="B22" s="135">
        <f>COVER!Z19</f>
        <v>60087</v>
      </c>
      <c r="G22" s="1899">
        <v>102300300</v>
      </c>
    </row>
    <row r="23" spans="1:7" ht="15" x14ac:dyDescent="0.25">
      <c r="A23" t="s">
        <v>1142</v>
      </c>
      <c r="B23" s="135" t="str">
        <f>COVER!T21</f>
        <v>847-662-8300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38718</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25483430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64101818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2200055</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45227629</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47879193</v>
      </c>
      <c r="C91" s="2" t="s">
        <v>569</v>
      </c>
      <c r="D91" s="2" t="str">
        <f t="shared" si="0"/>
        <v>Error?</v>
      </c>
      <c r="G91" s="1899">
        <v>102640400</v>
      </c>
    </row>
    <row r="92" spans="1:7" ht="15" x14ac:dyDescent="0.25">
      <c r="A92" s="5">
        <v>31</v>
      </c>
      <c r="B92" s="1832">
        <f>'Assets-Liab 5-6'!C39</f>
        <v>16222625</v>
      </c>
      <c r="D92" s="2" t="str">
        <f t="shared" si="0"/>
        <v>Error?</v>
      </c>
      <c r="G92" s="1899">
        <v>102640600</v>
      </c>
    </row>
    <row r="93" spans="1:7" ht="15" x14ac:dyDescent="0.25">
      <c r="A93" s="5">
        <v>32</v>
      </c>
      <c r="B93" s="1832">
        <f>'Assets-Liab 5-6'!C41</f>
        <v>64101818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3190615</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7264474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5660575</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5815079</v>
      </c>
      <c r="C122" s="2" t="s">
        <v>569</v>
      </c>
      <c r="D122" s="2" t="str">
        <f t="shared" si="0"/>
        <v>Error?</v>
      </c>
      <c r="G122" s="1899">
        <v>203000300</v>
      </c>
    </row>
    <row r="123" spans="1:7" ht="15" x14ac:dyDescent="0.25">
      <c r="A123" s="5">
        <v>62</v>
      </c>
      <c r="B123" s="1832">
        <f>'Assets-Liab 5-6'!D39</f>
        <v>1449395</v>
      </c>
      <c r="D123" s="2" t="str">
        <f t="shared" si="0"/>
        <v>Error?</v>
      </c>
      <c r="G123" s="1899">
        <v>203000400</v>
      </c>
    </row>
    <row r="124" spans="1:7" ht="15" x14ac:dyDescent="0.25">
      <c r="A124" s="5">
        <v>63</v>
      </c>
      <c r="B124" s="1832">
        <f>'Assets-Liab 5-6'!D41</f>
        <v>7264474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1689145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28600</v>
      </c>
      <c r="C139" s="2" t="s">
        <v>569</v>
      </c>
      <c r="D139" s="2" t="str">
        <f t="shared" si="1"/>
        <v>Error?</v>
      </c>
    </row>
    <row r="140" spans="1:7" x14ac:dyDescent="0.2">
      <c r="A140" s="5">
        <v>79</v>
      </c>
      <c r="B140" s="1832">
        <f>'Assets-Liab 5-6'!E39</f>
        <v>1660545</v>
      </c>
      <c r="D140" s="2" t="str">
        <f t="shared" si="1"/>
        <v>Error?</v>
      </c>
    </row>
    <row r="141" spans="1:7" x14ac:dyDescent="0.2">
      <c r="A141" s="5">
        <v>80</v>
      </c>
      <c r="B141" s="1832">
        <f>'Assets-Liab 5-6'!E41</f>
        <v>1689145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645051</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2624069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1144440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1144440</v>
      </c>
      <c r="C169" s="2" t="s">
        <v>569</v>
      </c>
      <c r="D169" s="2" t="str">
        <f t="shared" si="1"/>
        <v>Error?</v>
      </c>
    </row>
    <row r="170" spans="1:4" x14ac:dyDescent="0.2">
      <c r="A170" s="5">
        <v>109</v>
      </c>
      <c r="B170" s="1832">
        <f>'Assets-Liab 5-6'!F39</f>
        <v>1479629</v>
      </c>
      <c r="D170" s="2" t="str">
        <f t="shared" si="1"/>
        <v>Error?</v>
      </c>
    </row>
    <row r="171" spans="1:4" x14ac:dyDescent="0.2">
      <c r="A171" s="5">
        <v>110</v>
      </c>
      <c r="B171" s="1832">
        <f>'Assets-Liab 5-6'!F41</f>
        <v>2624069</v>
      </c>
      <c r="C171" s="2" t="s">
        <v>569</v>
      </c>
      <c r="D171" s="2" t="str">
        <f t="shared" si="1"/>
        <v>Error?</v>
      </c>
    </row>
    <row r="172" spans="1:4" x14ac:dyDescent="0.2">
      <c r="A172" s="10">
        <v>111</v>
      </c>
      <c r="B172" s="1832"/>
      <c r="D172" s="2" t="str">
        <f t="shared" si="1"/>
        <v>OK</v>
      </c>
    </row>
    <row r="173" spans="1:4" x14ac:dyDescent="0.2">
      <c r="A173" s="5">
        <v>112</v>
      </c>
      <c r="B173" s="1832">
        <f>'Assets-Liab 5-6'!G6</f>
        <v>518545</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1670428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57835</v>
      </c>
      <c r="D184" s="2" t="str">
        <f t="shared" si="1"/>
        <v>Error?</v>
      </c>
    </row>
    <row r="185" spans="1:4" x14ac:dyDescent="0.2">
      <c r="A185" s="5">
        <v>124</v>
      </c>
      <c r="B185" s="1832">
        <f>'Assets-Liab 5-6'!G32</f>
        <v>919821</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977656</v>
      </c>
      <c r="C188" s="2" t="s">
        <v>569</v>
      </c>
      <c r="D188" s="2" t="str">
        <f t="shared" si="1"/>
        <v>Error?</v>
      </c>
    </row>
    <row r="189" spans="1:4" x14ac:dyDescent="0.2">
      <c r="A189" s="5">
        <v>128</v>
      </c>
      <c r="B189" s="1832">
        <f>'Assets-Liab 5-6'!G39</f>
        <v>692772</v>
      </c>
      <c r="D189" s="2" t="str">
        <f t="shared" si="1"/>
        <v>Error?</v>
      </c>
    </row>
    <row r="190" spans="1:4" x14ac:dyDescent="0.2">
      <c r="A190" s="5">
        <v>129</v>
      </c>
      <c r="B190" s="1832">
        <f>'Assets-Liab 5-6'!G41</f>
        <v>1670428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5502083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113253</v>
      </c>
      <c r="C211" s="2" t="s">
        <v>569</v>
      </c>
      <c r="D211" s="2" t="str">
        <f t="shared" si="2"/>
        <v>Error?</v>
      </c>
    </row>
    <row r="212" spans="1:4" x14ac:dyDescent="0.2">
      <c r="A212" s="5">
        <v>151</v>
      </c>
      <c r="B212" s="1832">
        <f>'Assets-Liab 5-6'!H39</f>
        <v>5388830</v>
      </c>
      <c r="D212" s="2" t="str">
        <f t="shared" si="2"/>
        <v>Error?</v>
      </c>
    </row>
    <row r="213" spans="1:4" x14ac:dyDescent="0.2">
      <c r="A213" s="12">
        <v>152</v>
      </c>
      <c r="B213" s="1832">
        <f>'Assets-Liab 5-6'!H41</f>
        <v>5502083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127188</v>
      </c>
      <c r="D273" s="2" t="str">
        <f t="shared" si="3"/>
        <v>Error?</v>
      </c>
    </row>
    <row r="274" spans="1:4" x14ac:dyDescent="0.2">
      <c r="A274" s="5">
        <v>213</v>
      </c>
      <c r="B274" s="1832">
        <f>'Assets-Liab 5-6'!M17</f>
        <v>106422265</v>
      </c>
      <c r="D274" s="2" t="str">
        <f t="shared" si="3"/>
        <v>Error?</v>
      </c>
    </row>
    <row r="275" spans="1:4" x14ac:dyDescent="0.2">
      <c r="A275" s="5">
        <v>214</v>
      </c>
      <c r="B275" s="1832">
        <f>'Assets-Liab 5-6'!M18</f>
        <v>3314227</v>
      </c>
      <c r="D275" s="2" t="str">
        <f t="shared" si="3"/>
        <v>Error?</v>
      </c>
    </row>
    <row r="276" spans="1:4" x14ac:dyDescent="0.2">
      <c r="A276" s="5">
        <v>215</v>
      </c>
      <c r="B276" s="1832">
        <f>'Assets-Liab 5-6'!M19</f>
        <v>33527614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143391294</v>
      </c>
      <c r="C279" s="2" t="s">
        <v>569</v>
      </c>
      <c r="D279" s="2" t="str">
        <f t="shared" si="3"/>
        <v>Error?</v>
      </c>
    </row>
    <row r="280" spans="1:4" x14ac:dyDescent="0.2">
      <c r="A280" s="5">
        <v>219</v>
      </c>
      <c r="B280" s="1832">
        <f>'Assets-Liab 5-6'!M40</f>
        <v>143391294</v>
      </c>
      <c r="D280" s="2" t="str">
        <f t="shared" si="3"/>
        <v>Error?</v>
      </c>
    </row>
    <row r="281" spans="1:4" x14ac:dyDescent="0.2">
      <c r="A281" s="5">
        <v>220</v>
      </c>
      <c r="B281" s="1832">
        <f>'Assets-Liab 5-6'!M41</f>
        <v>143391294</v>
      </c>
      <c r="C281" s="2" t="s">
        <v>569</v>
      </c>
      <c r="D281" s="2" t="str">
        <f t="shared" si="3"/>
        <v>Error?</v>
      </c>
    </row>
    <row r="282" spans="1:4" x14ac:dyDescent="0.2">
      <c r="A282" s="5">
        <v>221</v>
      </c>
      <c r="B282" s="1832">
        <f>'Assets-Liab 5-6'!N21</f>
        <v>1660545</v>
      </c>
      <c r="D282" s="2" t="str">
        <f t="shared" si="3"/>
        <v>Error?</v>
      </c>
    </row>
    <row r="283" spans="1:4" x14ac:dyDescent="0.2">
      <c r="A283" s="5">
        <v>222</v>
      </c>
      <c r="B283" s="1832">
        <f>'Assets-Liab 5-6'!N22</f>
        <v>18674455</v>
      </c>
      <c r="D283" s="2" t="str">
        <f t="shared" si="3"/>
        <v>Error?</v>
      </c>
    </row>
    <row r="284" spans="1:4" x14ac:dyDescent="0.2">
      <c r="A284" s="5">
        <v>223</v>
      </c>
      <c r="B284" s="1832">
        <f>'Assets-Liab 5-6'!N23</f>
        <v>20335000</v>
      </c>
      <c r="C284" s="2" t="s">
        <v>569</v>
      </c>
      <c r="D284" s="2" t="str">
        <f t="shared" si="3"/>
        <v>Error?</v>
      </c>
    </row>
    <row r="285" spans="1:4" x14ac:dyDescent="0.2">
      <c r="A285" s="5">
        <v>224</v>
      </c>
      <c r="B285" s="1832">
        <f>'Assets-Liab 5-6'!N36</f>
        <v>20335000</v>
      </c>
      <c r="D285" s="2" t="str">
        <f t="shared" si="3"/>
        <v>Error?</v>
      </c>
    </row>
    <row r="286" spans="1:4" x14ac:dyDescent="0.2">
      <c r="A286" s="10">
        <v>225</v>
      </c>
      <c r="B286" s="1832"/>
      <c r="D286" s="2" t="str">
        <f t="shared" si="3"/>
        <v>OK</v>
      </c>
    </row>
    <row r="287" spans="1:4" x14ac:dyDescent="0.2">
      <c r="A287" s="5">
        <v>226</v>
      </c>
      <c r="B287" s="1832">
        <f>'Assets-Liab 5-6'!N37</f>
        <v>20335000</v>
      </c>
      <c r="C287" s="2" t="s">
        <v>569</v>
      </c>
      <c r="D287" s="2" t="str">
        <f t="shared" si="3"/>
        <v>Error?</v>
      </c>
    </row>
    <row r="288" spans="1:4" x14ac:dyDescent="0.2">
      <c r="A288" s="5">
        <v>227</v>
      </c>
      <c r="B288" s="1832">
        <f>'Assets-Liab 5-6'!N41</f>
        <v>20335000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16359623</v>
      </c>
      <c r="D705" s="2" t="str">
        <f t="shared" si="10"/>
        <v>Error?</v>
      </c>
    </row>
    <row r="706" spans="1:4" x14ac:dyDescent="0.2">
      <c r="A706" s="5">
        <v>645</v>
      </c>
      <c r="B706" s="1832">
        <f>'Expenditures 15-22'!C16</f>
        <v>846894</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501585</v>
      </c>
      <c r="D718" s="2" t="str">
        <f t="shared" si="10"/>
        <v>Error?</v>
      </c>
    </row>
    <row r="719" spans="1:4" x14ac:dyDescent="0.2">
      <c r="A719" s="5">
        <v>658</v>
      </c>
      <c r="B719" s="1832">
        <f>'Expenditures 15-22'!C15</f>
        <v>93255</v>
      </c>
      <c r="D719" s="2" t="str">
        <f t="shared" si="10"/>
        <v>Error?</v>
      </c>
    </row>
    <row r="720" spans="1:4" x14ac:dyDescent="0.2">
      <c r="A720" s="5">
        <v>659</v>
      </c>
      <c r="B720" s="1832">
        <f>'Expenditures 15-22'!C33</f>
        <v>23040988</v>
      </c>
      <c r="C720" s="2" t="s">
        <v>569</v>
      </c>
      <c r="D720" s="2" t="str">
        <f t="shared" si="10"/>
        <v>Error?</v>
      </c>
    </row>
    <row r="721" spans="1:4" x14ac:dyDescent="0.2">
      <c r="A721" s="5">
        <v>660</v>
      </c>
      <c r="B721" s="1832">
        <f>'Expenditures 15-22'!C36</f>
        <v>525699</v>
      </c>
      <c r="D721" s="2" t="str">
        <f t="shared" si="10"/>
        <v>Error?</v>
      </c>
    </row>
    <row r="722" spans="1:4" x14ac:dyDescent="0.2">
      <c r="A722" s="5">
        <v>661</v>
      </c>
      <c r="B722" s="1832">
        <f>'Expenditures 15-22'!C37</f>
        <v>396853</v>
      </c>
      <c r="D722" s="2" t="str">
        <f t="shared" si="10"/>
        <v>Error?</v>
      </c>
    </row>
    <row r="723" spans="1:4" x14ac:dyDescent="0.2">
      <c r="A723" s="5">
        <v>662</v>
      </c>
      <c r="B723" s="1832">
        <f>'Expenditures 15-22'!C38</f>
        <v>350280</v>
      </c>
      <c r="D723" s="2" t="str">
        <f t="shared" si="10"/>
        <v>Error?</v>
      </c>
    </row>
    <row r="724" spans="1:4" x14ac:dyDescent="0.2">
      <c r="A724" s="5">
        <v>663</v>
      </c>
      <c r="B724" s="1832">
        <f>'Expenditures 15-22'!C39</f>
        <v>79826</v>
      </c>
      <c r="D724" s="2" t="str">
        <f t="shared" si="10"/>
        <v>Error?</v>
      </c>
    </row>
    <row r="725" spans="1:4" x14ac:dyDescent="0.2">
      <c r="A725" s="5">
        <v>664</v>
      </c>
      <c r="B725" s="1832">
        <f>'Expenditures 15-22'!C40</f>
        <v>889194</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2241852</v>
      </c>
      <c r="C727" s="2" t="s">
        <v>569</v>
      </c>
      <c r="D727" s="2" t="str">
        <f t="shared" si="10"/>
        <v>Error?</v>
      </c>
    </row>
    <row r="728" spans="1:4" x14ac:dyDescent="0.2">
      <c r="A728" s="5">
        <v>667</v>
      </c>
      <c r="B728" s="1832">
        <f>'Expenditures 15-22'!C44</f>
        <v>1277076</v>
      </c>
      <c r="D728" s="2" t="str">
        <f t="shared" si="10"/>
        <v>Error?</v>
      </c>
    </row>
    <row r="729" spans="1:4" x14ac:dyDescent="0.2">
      <c r="A729" s="5">
        <v>668</v>
      </c>
      <c r="B729" s="1832">
        <f>'Expenditures 15-22'!C45</f>
        <v>777663</v>
      </c>
      <c r="D729" s="2" t="str">
        <f t="shared" si="10"/>
        <v>Error?</v>
      </c>
    </row>
    <row r="730" spans="1:4" x14ac:dyDescent="0.2">
      <c r="A730" s="5">
        <v>669</v>
      </c>
      <c r="B730" s="1832">
        <f>'Expenditures 15-22'!C46</f>
        <v>400093</v>
      </c>
      <c r="D730" s="2" t="str">
        <f t="shared" si="10"/>
        <v>Error?</v>
      </c>
    </row>
    <row r="731" spans="1:4" x14ac:dyDescent="0.2">
      <c r="A731" s="5">
        <v>670</v>
      </c>
      <c r="B731" s="1832">
        <f>'Expenditures 15-22'!C47</f>
        <v>2454832</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734554</v>
      </c>
      <c r="D733" s="2" t="str">
        <f t="shared" si="10"/>
        <v>Error?</v>
      </c>
    </row>
    <row r="734" spans="1:4" x14ac:dyDescent="0.2">
      <c r="A734" s="5">
        <v>673</v>
      </c>
      <c r="B734" s="1832">
        <f>'Expenditures 15-22'!C53</f>
        <v>734554</v>
      </c>
      <c r="C734" s="2" t="s">
        <v>569</v>
      </c>
      <c r="D734" s="2" t="str">
        <f t="shared" si="10"/>
        <v>Error?</v>
      </c>
    </row>
    <row r="735" spans="1:4" x14ac:dyDescent="0.2">
      <c r="A735" s="5">
        <v>674</v>
      </c>
      <c r="B735" s="1832">
        <f>'Expenditures 15-22'!C55</f>
        <v>1873612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1873612</v>
      </c>
      <c r="C737" s="2" t="s">
        <v>569</v>
      </c>
      <c r="D737" s="2" t="str">
        <f t="shared" si="10"/>
        <v>Error?</v>
      </c>
    </row>
    <row r="738" spans="1:4" x14ac:dyDescent="0.2">
      <c r="A738" s="5">
        <v>677</v>
      </c>
      <c r="B738" s="1832">
        <f>'Expenditures 15-22'!C59</f>
        <v>596221</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392423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988644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8293494</v>
      </c>
      <c r="C755" s="2" t="s">
        <v>569</v>
      </c>
      <c r="D755" s="2" t="str">
        <f t="shared" si="10"/>
        <v>Error?</v>
      </c>
    </row>
    <row r="756" spans="1:4" x14ac:dyDescent="0.2">
      <c r="A756" s="5">
        <v>695</v>
      </c>
      <c r="B756" s="1832">
        <f>'Expenditures 15-22'!C75</f>
        <v>139317</v>
      </c>
      <c r="D756" s="2" t="str">
        <f t="shared" si="10"/>
        <v>Error?</v>
      </c>
    </row>
    <row r="757" spans="1:4" x14ac:dyDescent="0.2">
      <c r="A757" s="5">
        <v>696</v>
      </c>
      <c r="B757" s="1832">
        <f>'Expenditures 15-22'!C114</f>
        <v>31473799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2700841</v>
      </c>
      <c r="D763" s="2" t="str">
        <f t="shared" si="10"/>
        <v>Error?</v>
      </c>
    </row>
    <row r="764" spans="1:4" x14ac:dyDescent="0.2">
      <c r="A764" s="5">
        <v>703</v>
      </c>
      <c r="B764" s="1832">
        <f>'Expenditures 15-22'!D16</f>
        <v>144609</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6634</v>
      </c>
      <c r="D776" s="2" t="str">
        <f t="shared" si="11"/>
        <v>Error?</v>
      </c>
    </row>
    <row r="777" spans="1:4" x14ac:dyDescent="0.2">
      <c r="A777" s="5">
        <v>716</v>
      </c>
      <c r="B777" s="1832">
        <f>'Expenditures 15-22'!D15</f>
        <v>1308</v>
      </c>
      <c r="D777" s="2" t="str">
        <f t="shared" si="11"/>
        <v>Error?</v>
      </c>
    </row>
    <row r="778" spans="1:4" x14ac:dyDescent="0.2">
      <c r="A778" s="5">
        <v>717</v>
      </c>
      <c r="B778" s="1832">
        <f>'Expenditures 15-22'!D33</f>
        <v>3922607</v>
      </c>
      <c r="C778" s="2" t="s">
        <v>569</v>
      </c>
      <c r="D778" s="2" t="str">
        <f t="shared" si="11"/>
        <v>Error?</v>
      </c>
    </row>
    <row r="779" spans="1:4" x14ac:dyDescent="0.2">
      <c r="A779" s="5">
        <v>718</v>
      </c>
      <c r="B779" s="1832">
        <f>'Expenditures 15-22'!D36</f>
        <v>83366</v>
      </c>
      <c r="D779" s="2" t="str">
        <f t="shared" si="11"/>
        <v>Error?</v>
      </c>
    </row>
    <row r="780" spans="1:4" x14ac:dyDescent="0.2">
      <c r="A780" s="5">
        <v>719</v>
      </c>
      <c r="B780" s="1832">
        <f>'Expenditures 15-22'!D37</f>
        <v>82728</v>
      </c>
      <c r="D780" s="2" t="str">
        <f t="shared" si="11"/>
        <v>Error?</v>
      </c>
    </row>
    <row r="781" spans="1:4" x14ac:dyDescent="0.2">
      <c r="A781" s="5">
        <v>720</v>
      </c>
      <c r="B781" s="1832">
        <f>'Expenditures 15-22'!D38</f>
        <v>75332</v>
      </c>
      <c r="D781" s="2" t="str">
        <f t="shared" si="11"/>
        <v>Error?</v>
      </c>
    </row>
    <row r="782" spans="1:4" x14ac:dyDescent="0.2">
      <c r="A782" s="5">
        <v>721</v>
      </c>
      <c r="B782" s="1832">
        <f>'Expenditures 15-22'!D39</f>
        <v>14541</v>
      </c>
      <c r="D782" s="2" t="str">
        <f t="shared" si="11"/>
        <v>Error?</v>
      </c>
    </row>
    <row r="783" spans="1:4" x14ac:dyDescent="0.2">
      <c r="A783" s="5">
        <v>722</v>
      </c>
      <c r="B783" s="1832">
        <f>'Expenditures 15-22'!D40</f>
        <v>123542</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379509</v>
      </c>
      <c r="C785" s="2" t="s">
        <v>569</v>
      </c>
      <c r="D785" s="2" t="str">
        <f t="shared" si="11"/>
        <v>Error?</v>
      </c>
    </row>
    <row r="786" spans="1:4" x14ac:dyDescent="0.2">
      <c r="A786" s="5">
        <v>725</v>
      </c>
      <c r="B786" s="1832">
        <f>'Expenditures 15-22'!D44</f>
        <v>159886</v>
      </c>
      <c r="D786" s="2" t="str">
        <f t="shared" si="11"/>
        <v>Error?</v>
      </c>
    </row>
    <row r="787" spans="1:4" x14ac:dyDescent="0.2">
      <c r="A787" s="5">
        <v>726</v>
      </c>
      <c r="B787" s="1832">
        <f>'Expenditures 15-22'!D45</f>
        <v>162605</v>
      </c>
      <c r="D787" s="2" t="str">
        <f t="shared" si="11"/>
        <v>Error?</v>
      </c>
    </row>
    <row r="788" spans="1:4" x14ac:dyDescent="0.2">
      <c r="A788" s="5">
        <v>727</v>
      </c>
      <c r="B788" s="1832">
        <f>'Expenditures 15-22'!D46</f>
        <v>82728</v>
      </c>
      <c r="D788" s="2" t="str">
        <f t="shared" si="11"/>
        <v>Error?</v>
      </c>
    </row>
    <row r="789" spans="1:4" x14ac:dyDescent="0.2">
      <c r="A789" s="5">
        <v>728</v>
      </c>
      <c r="B789" s="1832">
        <f>'Expenditures 15-22'!D47</f>
        <v>405219</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157750</v>
      </c>
      <c r="D791" s="2" t="str">
        <f t="shared" si="11"/>
        <v>Error?</v>
      </c>
    </row>
    <row r="792" spans="1:4" x14ac:dyDescent="0.2">
      <c r="A792" s="5">
        <v>731</v>
      </c>
      <c r="B792" s="1832">
        <f>'Expenditures 15-22'!D53</f>
        <v>157750</v>
      </c>
      <c r="C792" s="2" t="s">
        <v>569</v>
      </c>
      <c r="D792" s="2" t="str">
        <f t="shared" si="11"/>
        <v>Error?</v>
      </c>
    </row>
    <row r="793" spans="1:4" x14ac:dyDescent="0.2">
      <c r="A793" s="5">
        <v>732</v>
      </c>
      <c r="B793" s="1832">
        <f>'Expenditures 15-22'!D55</f>
        <v>468028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468028</v>
      </c>
      <c r="C795" s="2" t="s">
        <v>569</v>
      </c>
      <c r="D795" s="2" t="str">
        <f t="shared" si="11"/>
        <v>Error?</v>
      </c>
    </row>
    <row r="796" spans="1:4" x14ac:dyDescent="0.2">
      <c r="A796" s="5">
        <v>735</v>
      </c>
      <c r="B796" s="1832">
        <f>'Expenditures 15-22'!D59</f>
        <v>86993</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933</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87926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1498432</v>
      </c>
      <c r="C813" s="2" t="s">
        <v>569</v>
      </c>
      <c r="D813" s="2" t="str">
        <f t="shared" si="11"/>
        <v>Error?</v>
      </c>
    </row>
    <row r="814" spans="1:4" x14ac:dyDescent="0.2">
      <c r="A814" s="5">
        <v>753</v>
      </c>
      <c r="B814" s="1832">
        <f>'Expenditures 15-22'!D75</f>
        <v>21291</v>
      </c>
      <c r="D814" s="2" t="str">
        <f t="shared" si="11"/>
        <v>Error?</v>
      </c>
    </row>
    <row r="815" spans="1:4" x14ac:dyDescent="0.2">
      <c r="A815" s="5">
        <v>754</v>
      </c>
      <c r="B815" s="1832">
        <f>'Expenditures 15-22'!D114</f>
        <v>5442330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126714</v>
      </c>
      <c r="D821" s="2" t="str">
        <f t="shared" si="11"/>
        <v>Error?</v>
      </c>
    </row>
    <row r="822" spans="1:4" x14ac:dyDescent="0.2">
      <c r="A822" s="5">
        <v>761</v>
      </c>
      <c r="B822" s="1832">
        <f>'Expenditures 15-22'!E16</f>
        <v>490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13836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276492</v>
      </c>
      <c r="C836" s="2" t="s">
        <v>569</v>
      </c>
      <c r="D836" s="2" t="str">
        <f t="shared" si="12"/>
        <v>Error?</v>
      </c>
    </row>
    <row r="837" spans="1:4" x14ac:dyDescent="0.2">
      <c r="A837" s="5">
        <v>776</v>
      </c>
      <c r="B837" s="1832">
        <f>'Expenditures 15-22'!E36</f>
        <v>5489</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21564</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27053</v>
      </c>
      <c r="C843" s="2" t="s">
        <v>569</v>
      </c>
      <c r="D843" s="2" t="str">
        <f t="shared" si="12"/>
        <v>Error?</v>
      </c>
    </row>
    <row r="844" spans="1:4" x14ac:dyDescent="0.2">
      <c r="A844" s="5">
        <v>783</v>
      </c>
      <c r="B844" s="1832">
        <f>'Expenditures 15-22'!E44</f>
        <v>264813</v>
      </c>
      <c r="D844" s="2" t="str">
        <f t="shared" si="12"/>
        <v>Error?</v>
      </c>
    </row>
    <row r="845" spans="1:4" x14ac:dyDescent="0.2">
      <c r="A845" s="5">
        <v>784</v>
      </c>
      <c r="B845" s="1832">
        <f>'Expenditures 15-22'!E45</f>
        <v>69</v>
      </c>
      <c r="D845" s="2" t="str">
        <f t="shared" si="12"/>
        <v>Error?</v>
      </c>
    </row>
    <row r="846" spans="1:4" x14ac:dyDescent="0.2">
      <c r="A846" s="5">
        <v>785</v>
      </c>
      <c r="B846" s="1832">
        <f>'Expenditures 15-22'!E46</f>
        <v>151327</v>
      </c>
      <c r="D846" s="2" t="str">
        <f t="shared" si="12"/>
        <v>Error?</v>
      </c>
    </row>
    <row r="847" spans="1:4" x14ac:dyDescent="0.2">
      <c r="A847" s="5">
        <v>786</v>
      </c>
      <c r="B847" s="1832">
        <f>'Expenditures 15-22'!E47</f>
        <v>416209</v>
      </c>
      <c r="C847" s="2" t="s">
        <v>569</v>
      </c>
      <c r="D847" s="2" t="str">
        <f t="shared" si="12"/>
        <v>Error?</v>
      </c>
    </row>
    <row r="848" spans="1:4" x14ac:dyDescent="0.2">
      <c r="A848" s="5">
        <v>787</v>
      </c>
      <c r="B848" s="1832">
        <f>'Expenditures 15-22'!E49</f>
        <v>622353</v>
      </c>
      <c r="D848" s="2" t="str">
        <f t="shared" si="12"/>
        <v>Error?</v>
      </c>
    </row>
    <row r="849" spans="1:4" x14ac:dyDescent="0.2">
      <c r="A849" s="5">
        <v>788</v>
      </c>
      <c r="B849" s="1832">
        <f>'Expenditures 15-22'!E50</f>
        <v>127145</v>
      </c>
      <c r="D849" s="2" t="str">
        <f t="shared" si="12"/>
        <v>Error?</v>
      </c>
    </row>
    <row r="850" spans="1:4" x14ac:dyDescent="0.2">
      <c r="A850" s="5">
        <v>789</v>
      </c>
      <c r="B850" s="1832">
        <f>'Expenditures 15-22'!E53</f>
        <v>749498</v>
      </c>
      <c r="C850" s="2" t="s">
        <v>569</v>
      </c>
      <c r="D850" s="2" t="str">
        <f t="shared" si="12"/>
        <v>Error?</v>
      </c>
    </row>
    <row r="851" spans="1:4" x14ac:dyDescent="0.2">
      <c r="A851" s="5">
        <v>790</v>
      </c>
      <c r="B851" s="1832">
        <f>'Expenditures 15-22'!E55</f>
        <v>13881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13881</v>
      </c>
      <c r="C853" s="2" t="s">
        <v>569</v>
      </c>
      <c r="D853" s="2" t="str">
        <f t="shared" si="12"/>
        <v>Error?</v>
      </c>
    </row>
    <row r="854" spans="1:4" x14ac:dyDescent="0.2">
      <c r="A854" s="5">
        <v>793</v>
      </c>
      <c r="B854" s="1832">
        <f>'Expenditures 15-22'!E59</f>
        <v>47996</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47996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1325434</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17940</v>
      </c>
      <c r="D867" s="2" t="str">
        <f t="shared" si="12"/>
        <v>Error?</v>
      </c>
    </row>
    <row r="868" spans="1:4" x14ac:dyDescent="0.2">
      <c r="A868" s="10">
        <v>807</v>
      </c>
      <c r="B868" s="1832"/>
      <c r="D868" s="2" t="str">
        <f t="shared" si="12"/>
        <v>OK</v>
      </c>
    </row>
    <row r="869" spans="1:4" x14ac:dyDescent="0.2">
      <c r="A869" s="5">
        <v>808</v>
      </c>
      <c r="B869" s="1832">
        <f>'Expenditures 15-22'!E72</f>
        <v>1343374</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2598011</v>
      </c>
      <c r="C871" s="2" t="s">
        <v>569</v>
      </c>
      <c r="D871" s="2" t="str">
        <f t="shared" si="12"/>
        <v>Error?</v>
      </c>
    </row>
    <row r="872" spans="1:4" x14ac:dyDescent="0.2">
      <c r="A872" s="5">
        <v>811</v>
      </c>
      <c r="B872" s="1832">
        <f>'Expenditures 15-22'!E75</f>
        <v>1394</v>
      </c>
      <c r="D872" s="2" t="str">
        <f t="shared" si="12"/>
        <v>Error?</v>
      </c>
    </row>
    <row r="873" spans="1:4" x14ac:dyDescent="0.2">
      <c r="A873" s="5">
        <v>812</v>
      </c>
      <c r="B873" s="1832">
        <f>'Expenditures 15-22'!E114</f>
        <v>3189440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808925</v>
      </c>
      <c r="D879" s="2" t="str">
        <f t="shared" si="12"/>
        <v>Error?</v>
      </c>
    </row>
    <row r="880" spans="1:4" x14ac:dyDescent="0.2">
      <c r="A880" s="5">
        <v>819</v>
      </c>
      <c r="B880" s="1832">
        <f>'Expenditures 15-22'!F16</f>
        <v>260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4084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940833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7193</v>
      </c>
      <c r="D897" s="2" t="str">
        <f t="shared" si="13"/>
        <v>Error?</v>
      </c>
    </row>
    <row r="898" spans="1:4" x14ac:dyDescent="0.2">
      <c r="A898" s="5">
        <v>837</v>
      </c>
      <c r="B898" s="1832">
        <f>'Expenditures 15-22'!F39</f>
        <v>7660</v>
      </c>
      <c r="D898" s="2" t="str">
        <f t="shared" si="13"/>
        <v>Error?</v>
      </c>
    </row>
    <row r="899" spans="1:4" x14ac:dyDescent="0.2">
      <c r="A899" s="5">
        <v>838</v>
      </c>
      <c r="B899" s="1832">
        <f>'Expenditures 15-22'!F40</f>
        <v>6745</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21598</v>
      </c>
      <c r="C901" s="2" t="s">
        <v>569</v>
      </c>
      <c r="D901" s="2" t="str">
        <f t="shared" si="13"/>
        <v>Error?</v>
      </c>
    </row>
    <row r="902" spans="1:4" x14ac:dyDescent="0.2">
      <c r="A902" s="5">
        <v>841</v>
      </c>
      <c r="B902" s="1832">
        <f>'Expenditures 15-22'!F44</f>
        <v>2671</v>
      </c>
      <c r="D902" s="2" t="str">
        <f t="shared" si="13"/>
        <v>Error?</v>
      </c>
    </row>
    <row r="903" spans="1:4" x14ac:dyDescent="0.2">
      <c r="A903" s="5">
        <v>842</v>
      </c>
      <c r="B903" s="1832">
        <f>'Expenditures 15-22'!F45</f>
        <v>53947</v>
      </c>
      <c r="D903" s="2" t="str">
        <f t="shared" si="13"/>
        <v>Error?</v>
      </c>
    </row>
    <row r="904" spans="1:4" x14ac:dyDescent="0.2">
      <c r="A904" s="5">
        <v>843</v>
      </c>
      <c r="B904" s="1832">
        <f>'Expenditures 15-22'!F46</f>
        <v>294</v>
      </c>
      <c r="D904" s="2" t="str">
        <f t="shared" si="13"/>
        <v>Error?</v>
      </c>
    </row>
    <row r="905" spans="1:4" x14ac:dyDescent="0.2">
      <c r="A905" s="5">
        <v>844</v>
      </c>
      <c r="B905" s="1832">
        <f>'Expenditures 15-22'!F47</f>
        <v>56912</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16558</v>
      </c>
      <c r="D907" s="2" t="str">
        <f t="shared" si="13"/>
        <v>Error?</v>
      </c>
    </row>
    <row r="908" spans="1:4" x14ac:dyDescent="0.2">
      <c r="A908" s="5">
        <v>847</v>
      </c>
      <c r="B908" s="1832">
        <f>'Expenditures 15-22'!F53</f>
        <v>16558</v>
      </c>
      <c r="C908" s="2" t="s">
        <v>569</v>
      </c>
      <c r="D908" s="2" t="str">
        <f t="shared" si="13"/>
        <v>Error?</v>
      </c>
    </row>
    <row r="909" spans="1:4" x14ac:dyDescent="0.2">
      <c r="A909" s="5">
        <v>848</v>
      </c>
      <c r="B909" s="1832">
        <f>'Expenditures 15-22'!F55</f>
        <v>4698</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4698</v>
      </c>
      <c r="C911" s="2" t="s">
        <v>569</v>
      </c>
      <c r="D911" s="2" t="str">
        <f t="shared" si="13"/>
        <v>Error?</v>
      </c>
    </row>
    <row r="912" spans="1:4" x14ac:dyDescent="0.2">
      <c r="A912" s="5">
        <v>851</v>
      </c>
      <c r="B912" s="1832">
        <f>'Expenditures 15-22'!F59</f>
        <v>3073</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38325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41398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154168</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154168</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295332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1236165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30984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1067</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1067</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543955</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543955</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545022</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576006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280453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128311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408764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19996103</v>
      </c>
      <c r="C1093" s="2" t="s">
        <v>569</v>
      </c>
      <c r="D1093" s="2" t="str">
        <f t="shared" si="16"/>
        <v>Error?</v>
      </c>
    </row>
    <row r="1094" spans="1:4" x14ac:dyDescent="0.2">
      <c r="A1094" s="5">
        <v>1033</v>
      </c>
      <c r="B1094" s="1832">
        <f>'Expenditures 15-22'!K16</f>
        <v>992253</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526139</v>
      </c>
      <c r="C1106" s="2" t="s">
        <v>569</v>
      </c>
      <c r="D1106" s="2" t="str">
        <f t="shared" si="16"/>
        <v>Error?</v>
      </c>
    </row>
    <row r="1107" spans="1:4" x14ac:dyDescent="0.2">
      <c r="A1107" s="5">
        <v>1046</v>
      </c>
      <c r="B1107" s="1832">
        <f>'Expenditures 15-22'!K15</f>
        <v>94563</v>
      </c>
      <c r="C1107" s="2" t="s">
        <v>569</v>
      </c>
      <c r="D1107" s="2" t="str">
        <f t="shared" si="16"/>
        <v>Error?</v>
      </c>
    </row>
    <row r="1108" spans="1:4" x14ac:dyDescent="0.2">
      <c r="A1108" s="5">
        <v>1047</v>
      </c>
      <c r="B1108" s="1832">
        <f>'Expenditures 15-22'!K33</f>
        <v>28492357</v>
      </c>
      <c r="C1108" s="2" t="s">
        <v>569</v>
      </c>
      <c r="D1108" s="2" t="str">
        <f t="shared" si="16"/>
        <v>Error?</v>
      </c>
    </row>
    <row r="1109" spans="1:4" x14ac:dyDescent="0.2">
      <c r="A1109" s="5">
        <v>1048</v>
      </c>
      <c r="B1109" s="1832">
        <f>'Expenditures 15-22'!K36</f>
        <v>614554</v>
      </c>
      <c r="C1109" s="2" t="s">
        <v>569</v>
      </c>
      <c r="D1109" s="2" t="str">
        <f t="shared" si="16"/>
        <v>Error?</v>
      </c>
    </row>
    <row r="1110" spans="1:4" x14ac:dyDescent="0.2">
      <c r="A1110" s="5">
        <v>1049</v>
      </c>
      <c r="B1110" s="1832">
        <f>'Expenditures 15-22'!K37</f>
        <v>479581</v>
      </c>
      <c r="C1110" s="2" t="s">
        <v>569</v>
      </c>
      <c r="D1110" s="2" t="str">
        <f t="shared" si="16"/>
        <v>Error?</v>
      </c>
    </row>
    <row r="1111" spans="1:4" x14ac:dyDescent="0.2">
      <c r="A1111" s="5">
        <v>1050</v>
      </c>
      <c r="B1111" s="1832">
        <f>'Expenditures 15-22'!K38</f>
        <v>432805</v>
      </c>
      <c r="C1111" s="2" t="s">
        <v>569</v>
      </c>
      <c r="D1111" s="2" t="str">
        <f t="shared" si="16"/>
        <v>Error?</v>
      </c>
    </row>
    <row r="1112" spans="1:4" x14ac:dyDescent="0.2">
      <c r="A1112" s="5">
        <v>1051</v>
      </c>
      <c r="B1112" s="1832">
        <f>'Expenditures 15-22'!K39</f>
        <v>123591</v>
      </c>
      <c r="C1112" s="2" t="s">
        <v>569</v>
      </c>
      <c r="D1112" s="2" t="str">
        <f t="shared" si="16"/>
        <v>Error?</v>
      </c>
    </row>
    <row r="1113" spans="1:4" x14ac:dyDescent="0.2">
      <c r="A1113" s="5">
        <v>1052</v>
      </c>
      <c r="B1113" s="1832">
        <f>'Expenditures 15-22'!K40</f>
        <v>1019481</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2670012</v>
      </c>
      <c r="C1115" s="2" t="s">
        <v>569</v>
      </c>
      <c r="D1115" s="2" t="str">
        <f t="shared" si="16"/>
        <v>Error?</v>
      </c>
    </row>
    <row r="1116" spans="1:4" x14ac:dyDescent="0.2">
      <c r="A1116" s="5">
        <v>1055</v>
      </c>
      <c r="B1116" s="1832">
        <f>'Expenditures 15-22'!K44</f>
        <v>1704446</v>
      </c>
      <c r="C1116" s="2" t="s">
        <v>569</v>
      </c>
      <c r="D1116" s="2" t="str">
        <f t="shared" si="16"/>
        <v>Error?</v>
      </c>
    </row>
    <row r="1117" spans="1:4" x14ac:dyDescent="0.2">
      <c r="A1117" s="5">
        <v>1056</v>
      </c>
      <c r="B1117" s="1832">
        <f>'Expenditures 15-22'!K45</f>
        <v>994284</v>
      </c>
      <c r="C1117" s="2" t="s">
        <v>569</v>
      </c>
      <c r="D1117" s="2" t="str">
        <f t="shared" si="16"/>
        <v>Error?</v>
      </c>
    </row>
    <row r="1118" spans="1:4" x14ac:dyDescent="0.2">
      <c r="A1118" s="5">
        <v>1057</v>
      </c>
      <c r="B1118" s="1832">
        <f>'Expenditures 15-22'!K46</f>
        <v>634442</v>
      </c>
      <c r="C1118" s="2" t="s">
        <v>569</v>
      </c>
      <c r="D1118" s="2" t="str">
        <f t="shared" si="16"/>
        <v>Error?</v>
      </c>
    </row>
    <row r="1119" spans="1:4" x14ac:dyDescent="0.2">
      <c r="A1119" s="5">
        <v>1058</v>
      </c>
      <c r="B1119" s="1832">
        <f>'Expenditures 15-22'!K47</f>
        <v>3333172</v>
      </c>
      <c r="C1119" s="2" t="s">
        <v>569</v>
      </c>
      <c r="D1119" s="2" t="str">
        <f t="shared" si="16"/>
        <v>Error?</v>
      </c>
    </row>
    <row r="1120" spans="1:4" x14ac:dyDescent="0.2">
      <c r="A1120" s="5">
        <v>1059</v>
      </c>
      <c r="B1120" s="1832">
        <f>'Expenditures 15-22'!K49</f>
        <v>622353</v>
      </c>
      <c r="C1120" s="2" t="s">
        <v>569</v>
      </c>
      <c r="D1120" s="2" t="str">
        <f t="shared" si="16"/>
        <v>Error?</v>
      </c>
    </row>
    <row r="1121" spans="1:4" x14ac:dyDescent="0.2">
      <c r="A1121" s="5">
        <v>1060</v>
      </c>
      <c r="B1121" s="1832">
        <f>'Expenditures 15-22'!K50</f>
        <v>1036007</v>
      </c>
      <c r="C1121" s="2" t="s">
        <v>569</v>
      </c>
      <c r="D1121" s="2" t="str">
        <f t="shared" si="16"/>
        <v>Error?</v>
      </c>
    </row>
    <row r="1122" spans="1:4" x14ac:dyDescent="0.2">
      <c r="A1122" s="5">
        <v>1061</v>
      </c>
      <c r="B1122" s="1832">
        <f>'Expenditures 15-22'!K53</f>
        <v>1658360</v>
      </c>
      <c r="C1122" s="2" t="s">
        <v>569</v>
      </c>
      <c r="D1122" s="2" t="str">
        <f t="shared" si="16"/>
        <v>Error?</v>
      </c>
    </row>
    <row r="1123" spans="1:4" x14ac:dyDescent="0.2">
      <c r="A1123" s="5">
        <v>1062</v>
      </c>
      <c r="B1123" s="1832">
        <f>'Expenditures 15-22'!K55</f>
        <v>2360219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2360219</v>
      </c>
      <c r="C1125" s="2" t="s">
        <v>569</v>
      </c>
      <c r="D1125" s="2" t="str">
        <f t="shared" si="16"/>
        <v>Error?</v>
      </c>
    </row>
    <row r="1126" spans="1:4" x14ac:dyDescent="0.2">
      <c r="A1126" s="5">
        <v>1065</v>
      </c>
      <c r="B1126" s="1832">
        <f>'Expenditures 15-22'!K59</f>
        <v>735350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431681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1167031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2023557</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17940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2041497</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13230291</v>
      </c>
      <c r="C1143" s="2" t="s">
        <v>569</v>
      </c>
      <c r="D1143" s="2" t="str">
        <f t="shared" si="16"/>
        <v>Error?</v>
      </c>
    </row>
    <row r="1144" spans="1:4" x14ac:dyDescent="0.2">
      <c r="A1144" s="5">
        <v>1083</v>
      </c>
      <c r="B1144" s="1832">
        <f>'Expenditures 15-22'!K75</f>
        <v>162002</v>
      </c>
      <c r="C1144" s="2" t="s">
        <v>569</v>
      </c>
      <c r="D1144" s="2" t="str">
        <f t="shared" si="16"/>
        <v>Error?</v>
      </c>
    </row>
    <row r="1145" spans="1:4" x14ac:dyDescent="0.2">
      <c r="A1145" s="5">
        <v>1084</v>
      </c>
      <c r="B1145" s="1832">
        <f>'Expenditures 15-22'!K102</f>
        <v>441854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42326504</v>
      </c>
      <c r="C1152" s="2" t="s">
        <v>569</v>
      </c>
      <c r="D1152" s="2" t="str">
        <f t="shared" si="17"/>
        <v>Error?</v>
      </c>
    </row>
    <row r="1153" spans="1:4" x14ac:dyDescent="0.2">
      <c r="A1153" s="5">
        <v>1092</v>
      </c>
      <c r="B1153" s="1832">
        <f>'Expenditures 15-22'!K115</f>
        <v>4506354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570298</v>
      </c>
      <c r="D1221" s="2" t="str">
        <f t="shared" si="18"/>
        <v>Error?</v>
      </c>
    </row>
    <row r="1222" spans="1:4" x14ac:dyDescent="0.2">
      <c r="A1222" s="10">
        <v>1161</v>
      </c>
      <c r="B1222" s="1832"/>
      <c r="D1222" s="2" t="str">
        <f t="shared" si="18"/>
        <v>OK</v>
      </c>
    </row>
    <row r="1223" spans="1:4" x14ac:dyDescent="0.2">
      <c r="A1223" s="5">
        <v>1162</v>
      </c>
      <c r="B1223" s="1832">
        <f>'Expenditures 15-22'!C127</f>
        <v>570298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570298</v>
      </c>
      <c r="C1225" s="2" t="s">
        <v>569</v>
      </c>
      <c r="D1225" s="2" t="str">
        <f t="shared" si="18"/>
        <v>Error?</v>
      </c>
    </row>
    <row r="1226" spans="1:4" x14ac:dyDescent="0.2">
      <c r="A1226" s="5">
        <v>1165</v>
      </c>
      <c r="B1226" s="1832">
        <f>'Expenditures 15-22'!C151</f>
        <v>570298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99684</v>
      </c>
      <c r="D1229" s="2" t="str">
        <f t="shared" si="18"/>
        <v>Error?</v>
      </c>
    </row>
    <row r="1230" spans="1:4" x14ac:dyDescent="0.2">
      <c r="A1230" s="10">
        <v>1169</v>
      </c>
      <c r="B1230" s="1832"/>
      <c r="D1230" s="2" t="str">
        <f t="shared" si="18"/>
        <v>OK</v>
      </c>
    </row>
    <row r="1231" spans="1:4" x14ac:dyDescent="0.2">
      <c r="A1231" s="5">
        <v>1170</v>
      </c>
      <c r="B1231" s="1832">
        <f>'Expenditures 15-22'!D127</f>
        <v>99684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99684</v>
      </c>
      <c r="C1233" s="2" t="s">
        <v>569</v>
      </c>
      <c r="D1233" s="2" t="str">
        <f t="shared" si="18"/>
        <v>Error?</v>
      </c>
    </row>
    <row r="1234" spans="1:4" x14ac:dyDescent="0.2">
      <c r="A1234" s="5">
        <v>1173</v>
      </c>
      <c r="B1234" s="1832">
        <f>'Expenditures 15-22'!D151</f>
        <v>99684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1651844</v>
      </c>
      <c r="D1237" s="2" t="str">
        <f t="shared" si="18"/>
        <v>Error?</v>
      </c>
    </row>
    <row r="1238" spans="1:4" x14ac:dyDescent="0.2">
      <c r="A1238" s="10">
        <v>1177</v>
      </c>
      <c r="B1238" s="1832"/>
      <c r="D1238" s="2" t="str">
        <f t="shared" si="18"/>
        <v>OK</v>
      </c>
    </row>
    <row r="1239" spans="1:4" x14ac:dyDescent="0.2">
      <c r="A1239" s="5">
        <v>1178</v>
      </c>
      <c r="B1239" s="1832">
        <f>'Expenditures 15-22'!E127</f>
        <v>1651844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1651844</v>
      </c>
      <c r="C1241" s="2" t="s">
        <v>569</v>
      </c>
      <c r="D1241" s="2" t="str">
        <f t="shared" si="18"/>
        <v>Error?</v>
      </c>
    </row>
    <row r="1242" spans="1:4" x14ac:dyDescent="0.2">
      <c r="A1242" s="5">
        <v>1181</v>
      </c>
      <c r="B1242" s="1832">
        <f>'Expenditures 15-22'!E151</f>
        <v>1651844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754596</v>
      </c>
      <c r="D1245" s="2" t="str">
        <f t="shared" si="18"/>
        <v>Error?</v>
      </c>
    </row>
    <row r="1246" spans="1:4" x14ac:dyDescent="0.2">
      <c r="A1246" s="10">
        <v>1185</v>
      </c>
      <c r="B1246" s="1832"/>
      <c r="D1246" s="2" t="str">
        <f t="shared" si="18"/>
        <v>OK</v>
      </c>
    </row>
    <row r="1247" spans="1:4" x14ac:dyDescent="0.2">
      <c r="A1247" s="5">
        <v>1186</v>
      </c>
      <c r="B1247" s="1832">
        <f>'Expenditures 15-22'!F127</f>
        <v>754596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754596</v>
      </c>
      <c r="C1249" s="2" t="s">
        <v>569</v>
      </c>
      <c r="D1249" s="2" t="str">
        <f t="shared" si="18"/>
        <v>Error?</v>
      </c>
    </row>
    <row r="1250" spans="1:4" x14ac:dyDescent="0.2">
      <c r="A1250" s="5">
        <v>1189</v>
      </c>
      <c r="B1250" s="1832">
        <f>'Expenditures 15-22'!F151</f>
        <v>754596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2974727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2974727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2974727</v>
      </c>
      <c r="C1258" s="2" t="s">
        <v>569</v>
      </c>
      <c r="D1258" s="2" t="str">
        <f t="shared" si="18"/>
        <v>Error?</v>
      </c>
    </row>
    <row r="1259" spans="1:4" x14ac:dyDescent="0.2">
      <c r="A1259" s="5">
        <v>1198</v>
      </c>
      <c r="B1259" s="1832">
        <f>'Expenditures 15-22'!G151</f>
        <v>2974727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2000</v>
      </c>
      <c r="D1262" s="2" t="str">
        <f t="shared" si="18"/>
        <v>Error?</v>
      </c>
    </row>
    <row r="1263" spans="1:4" x14ac:dyDescent="0.2">
      <c r="A1263" s="10">
        <v>1202</v>
      </c>
      <c r="B1263" s="1832"/>
      <c r="D1263" s="2" t="str">
        <f t="shared" si="18"/>
        <v>OK</v>
      </c>
    </row>
    <row r="1264" spans="1:4" x14ac:dyDescent="0.2">
      <c r="A1264" s="5">
        <v>1203</v>
      </c>
      <c r="B1264" s="1832">
        <f>'Expenditures 15-22'!H127</f>
        <v>2000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2000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2000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6053149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6053149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6053149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6053149</v>
      </c>
      <c r="C1288" s="2" t="s">
        <v>569</v>
      </c>
      <c r="D1288" s="2" t="str">
        <f t="shared" si="19"/>
        <v>Error?</v>
      </c>
    </row>
    <row r="1289" spans="1:4" x14ac:dyDescent="0.2">
      <c r="A1289" s="5">
        <v>1228</v>
      </c>
      <c r="B1289" s="1832">
        <f>'Expenditures 15-22'!K152</f>
        <v>-499820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728277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12420</v>
      </c>
      <c r="D1316" s="2" t="str">
        <f t="shared" si="19"/>
        <v>Error?</v>
      </c>
    </row>
    <row r="1317" spans="1:4" x14ac:dyDescent="0.2">
      <c r="A1317" s="5">
        <v>1256</v>
      </c>
      <c r="B1317" s="1832">
        <f>'Expenditures 15-22'!H172</f>
        <v>740697</v>
      </c>
      <c r="C1317" s="2" t="s">
        <v>569</v>
      </c>
      <c r="D1317" s="2" t="str">
        <f t="shared" si="19"/>
        <v>Error?</v>
      </c>
    </row>
    <row r="1318" spans="1:4" x14ac:dyDescent="0.2">
      <c r="A1318" s="5">
        <v>1257</v>
      </c>
      <c r="B1318" s="1832">
        <f>'Expenditures 15-22'!H174</f>
        <v>740697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728277</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12420</v>
      </c>
      <c r="C1330" s="2" t="s">
        <v>569</v>
      </c>
      <c r="D1330" s="2" t="str">
        <f t="shared" si="19"/>
        <v>Error?</v>
      </c>
    </row>
    <row r="1331" spans="1:4" x14ac:dyDescent="0.2">
      <c r="A1331" s="5">
        <v>1270</v>
      </c>
      <c r="B1331" s="1832">
        <f>'Expenditures 15-22'!K172</f>
        <v>740697</v>
      </c>
      <c r="C1331" s="2" t="s">
        <v>569</v>
      </c>
      <c r="D1331" s="2" t="str">
        <f t="shared" si="19"/>
        <v>Error?</v>
      </c>
    </row>
    <row r="1332" spans="1:4" x14ac:dyDescent="0.2">
      <c r="A1332" s="5">
        <v>1271</v>
      </c>
      <c r="B1332" s="1832">
        <f>'Expenditures 15-22'!K174</f>
        <v>740697</v>
      </c>
      <c r="C1332" s="2" t="s">
        <v>569</v>
      </c>
      <c r="D1332" s="2" t="str">
        <f t="shared" si="19"/>
        <v>Error?</v>
      </c>
    </row>
    <row r="1333" spans="1:4" x14ac:dyDescent="0.2">
      <c r="A1333" s="5">
        <v>1272</v>
      </c>
      <c r="B1333" s="1832">
        <f>'Expenditures 15-22'!K175</f>
        <v>-734151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55841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55841</v>
      </c>
      <c r="C1339" s="2" t="s">
        <v>569</v>
      </c>
      <c r="D1339" s="2" t="str">
        <f t="shared" si="19"/>
        <v>Error?</v>
      </c>
    </row>
    <row r="1340" spans="1:4" x14ac:dyDescent="0.2">
      <c r="A1340" s="5">
        <v>1279</v>
      </c>
      <c r="B1340" s="1832">
        <f>'Expenditures 15-22'!C210</f>
        <v>55841</v>
      </c>
      <c r="C1340" s="2" t="s">
        <v>569</v>
      </c>
      <c r="D1340" s="2" t="str">
        <f t="shared" si="19"/>
        <v>Error?</v>
      </c>
    </row>
    <row r="1341" spans="1:4" x14ac:dyDescent="0.2">
      <c r="A1341" s="5">
        <v>1280</v>
      </c>
      <c r="B1341" s="1832">
        <f>'Expenditures 15-22'!D182</f>
        <v>3139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3139</v>
      </c>
      <c r="C1345" s="2" t="s">
        <v>569</v>
      </c>
      <c r="D1345" s="2" t="str">
        <f t="shared" si="20"/>
        <v>Error?</v>
      </c>
    </row>
    <row r="1346" spans="1:4" x14ac:dyDescent="0.2">
      <c r="A1346" s="5">
        <v>1285</v>
      </c>
      <c r="B1346" s="1832">
        <f>'Expenditures 15-22'!D210</f>
        <v>3139</v>
      </c>
      <c r="C1346" s="2" t="s">
        <v>569</v>
      </c>
      <c r="D1346" s="2" t="str">
        <f t="shared" si="20"/>
        <v>Error?</v>
      </c>
    </row>
    <row r="1347" spans="1:4" x14ac:dyDescent="0.2">
      <c r="A1347" s="5">
        <v>1286</v>
      </c>
      <c r="B1347" s="1832">
        <f>'Expenditures 15-22'!E182</f>
        <v>1341766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1341766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1341766</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1400746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1400746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1400746</v>
      </c>
      <c r="C1388" s="2" t="s">
        <v>569</v>
      </c>
      <c r="D1388" s="2" t="str">
        <f t="shared" si="20"/>
        <v>Error?</v>
      </c>
    </row>
    <row r="1389" spans="1:4" x14ac:dyDescent="0.2">
      <c r="A1389" s="5">
        <v>1328</v>
      </c>
      <c r="B1389" s="1832">
        <f>'Expenditures 15-22'!K211</f>
        <v>84832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11676</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14501</v>
      </c>
      <c r="D1408" s="2" t="str">
        <f t="shared" si="21"/>
        <v>Error?</v>
      </c>
    </row>
    <row r="1409" spans="1:4" x14ac:dyDescent="0.2">
      <c r="A1409" s="5">
        <v>1348</v>
      </c>
      <c r="B1409" s="1832">
        <f>'Expenditures 15-22'!D224</f>
        <v>6398</v>
      </c>
      <c r="D1409" s="2" t="str">
        <f t="shared" si="21"/>
        <v>Error?</v>
      </c>
    </row>
    <row r="1410" spans="1:4" x14ac:dyDescent="0.2">
      <c r="A1410" s="5">
        <v>1349</v>
      </c>
      <c r="B1410" s="1832">
        <f>'Expenditures 15-22'!D229</f>
        <v>607143</v>
      </c>
      <c r="C1410" s="2" t="s">
        <v>569</v>
      </c>
      <c r="D1410" s="2" t="str">
        <f t="shared" si="21"/>
        <v>Error?</v>
      </c>
    </row>
    <row r="1411" spans="1:4" x14ac:dyDescent="0.2">
      <c r="A1411" s="5">
        <v>1350</v>
      </c>
      <c r="B1411" s="1832">
        <f>'Expenditures 15-22'!D232</f>
        <v>7216</v>
      </c>
      <c r="D1411" s="2" t="str">
        <f t="shared" si="21"/>
        <v>Error?</v>
      </c>
    </row>
    <row r="1412" spans="1:4" x14ac:dyDescent="0.2">
      <c r="A1412" s="5">
        <v>1351</v>
      </c>
      <c r="B1412" s="1832">
        <f>'Expenditures 15-22'!D233</f>
        <v>5623</v>
      </c>
      <c r="D1412" s="2" t="str">
        <f t="shared" si="21"/>
        <v>Error?</v>
      </c>
    </row>
    <row r="1413" spans="1:4" x14ac:dyDescent="0.2">
      <c r="A1413" s="5">
        <v>1352</v>
      </c>
      <c r="B1413" s="1832">
        <f>'Expenditures 15-22'!D234</f>
        <v>44841</v>
      </c>
      <c r="D1413" s="2" t="str">
        <f t="shared" si="21"/>
        <v>Error?</v>
      </c>
    </row>
    <row r="1414" spans="1:4" x14ac:dyDescent="0.2">
      <c r="A1414" s="5">
        <v>1353</v>
      </c>
      <c r="B1414" s="1832">
        <f>'Expenditures 15-22'!D235</f>
        <v>1118</v>
      </c>
      <c r="D1414" s="2" t="str">
        <f t="shared" si="21"/>
        <v>Error?</v>
      </c>
    </row>
    <row r="1415" spans="1:4" x14ac:dyDescent="0.2">
      <c r="A1415" s="5">
        <v>1354</v>
      </c>
      <c r="B1415" s="1832">
        <f>'Expenditures 15-22'!D236</f>
        <v>12594</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71392</v>
      </c>
      <c r="C1417" s="2" t="s">
        <v>569</v>
      </c>
      <c r="D1417" s="2" t="str">
        <f t="shared" si="21"/>
        <v>Error?</v>
      </c>
    </row>
    <row r="1418" spans="1:4" x14ac:dyDescent="0.2">
      <c r="A1418" s="5">
        <v>1357</v>
      </c>
      <c r="B1418" s="1832">
        <f>'Expenditures 15-22'!D240</f>
        <v>18508</v>
      </c>
      <c r="D1418" s="2" t="str">
        <f t="shared" si="21"/>
        <v>Error?</v>
      </c>
    </row>
    <row r="1419" spans="1:4" x14ac:dyDescent="0.2">
      <c r="A1419" s="5">
        <v>1358</v>
      </c>
      <c r="B1419" s="1832">
        <f>'Expenditures 15-22'!D241</f>
        <v>40347</v>
      </c>
      <c r="D1419" s="2" t="str">
        <f t="shared" si="21"/>
        <v>Error?</v>
      </c>
    </row>
    <row r="1420" spans="1:4" x14ac:dyDescent="0.2">
      <c r="A1420" s="5">
        <v>1359</v>
      </c>
      <c r="B1420" s="1832">
        <f>'Expenditures 15-22'!D242</f>
        <v>39054</v>
      </c>
      <c r="D1420" s="2" t="str">
        <f t="shared" si="21"/>
        <v>Error?</v>
      </c>
    </row>
    <row r="1421" spans="1:4" x14ac:dyDescent="0.2">
      <c r="A1421" s="5">
        <v>1360</v>
      </c>
      <c r="B1421" s="1832">
        <f>'Expenditures 15-22'!D243</f>
        <v>97909</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40307</v>
      </c>
      <c r="D1423" s="2" t="str">
        <f t="shared" si="21"/>
        <v>Error?</v>
      </c>
    </row>
    <row r="1424" spans="1:4" x14ac:dyDescent="0.2">
      <c r="A1424" s="5">
        <v>1363</v>
      </c>
      <c r="B1424" s="1832">
        <f>'Expenditures 15-22'!D257</f>
        <v>40307</v>
      </c>
      <c r="C1424" s="2" t="s">
        <v>569</v>
      </c>
      <c r="D1424" s="2" t="str">
        <f t="shared" si="21"/>
        <v>Error?</v>
      </c>
    </row>
    <row r="1425" spans="1:4" x14ac:dyDescent="0.2">
      <c r="A1425" s="5">
        <v>1364</v>
      </c>
      <c r="B1425" s="1832">
        <f>'Expenditures 15-22'!D259</f>
        <v>122526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122526</v>
      </c>
      <c r="C1427" s="2" t="s">
        <v>569</v>
      </c>
      <c r="D1427" s="2" t="str">
        <f t="shared" si="21"/>
        <v>Error?</v>
      </c>
    </row>
    <row r="1428" spans="1:4" x14ac:dyDescent="0.2">
      <c r="A1428" s="5">
        <v>1367</v>
      </c>
      <c r="B1428" s="1832">
        <f>'Expenditures 15-22'!D263</f>
        <v>34972</v>
      </c>
      <c r="D1428" s="2" t="str">
        <f t="shared" si="21"/>
        <v>Error?</v>
      </c>
    </row>
    <row r="1429" spans="1:4" x14ac:dyDescent="0.2">
      <c r="A1429" s="5">
        <v>1368</v>
      </c>
      <c r="B1429" s="1832">
        <f>'Expenditures 15-22'!D264</f>
        <v>91146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7039</v>
      </c>
      <c r="D1432" s="2" t="str">
        <f t="shared" si="21"/>
        <v>Error?</v>
      </c>
    </row>
    <row r="1433" spans="1:4" x14ac:dyDescent="0.2">
      <c r="A1433" s="5">
        <v>1372</v>
      </c>
      <c r="B1433" s="1832">
        <f>'Expenditures 15-22'!D268</f>
        <v>37598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170755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502889</v>
      </c>
      <c r="C1446" s="2" t="s">
        <v>569</v>
      </c>
      <c r="D1446" s="2" t="str">
        <f t="shared" si="21"/>
        <v>Error?</v>
      </c>
    </row>
    <row r="1447" spans="1:4" x14ac:dyDescent="0.2">
      <c r="A1447" s="5">
        <v>1386</v>
      </c>
      <c r="B1447" s="1832">
        <f>'Expenditures 15-22'!D280</f>
        <v>21156</v>
      </c>
      <c r="D1447" s="2" t="str">
        <f t="shared" si="21"/>
        <v>Error?</v>
      </c>
    </row>
    <row r="1448" spans="1:4" x14ac:dyDescent="0.2">
      <c r="A1448" s="5">
        <v>1387</v>
      </c>
      <c r="B1448" s="1832">
        <f>'Expenditures 15-22'!D295</f>
        <v>1131188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11676</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14501</v>
      </c>
      <c r="C1472" s="2" t="s">
        <v>569</v>
      </c>
      <c r="D1472" s="2" t="str">
        <f t="shared" si="22"/>
        <v>Error?</v>
      </c>
    </row>
    <row r="1473" spans="1:4" x14ac:dyDescent="0.2">
      <c r="A1473" s="5">
        <v>1412</v>
      </c>
      <c r="B1473" s="1832">
        <f>'Expenditures 15-22'!K224</f>
        <v>6398</v>
      </c>
      <c r="C1473" s="2" t="s">
        <v>569</v>
      </c>
      <c r="D1473" s="2" t="str">
        <f t="shared" si="22"/>
        <v>Error?</v>
      </c>
    </row>
    <row r="1474" spans="1:4" x14ac:dyDescent="0.2">
      <c r="A1474" s="5">
        <v>1413</v>
      </c>
      <c r="B1474" s="1832">
        <f>'Expenditures 15-22'!K229</f>
        <v>607143</v>
      </c>
      <c r="C1474" s="2" t="s">
        <v>569</v>
      </c>
      <c r="D1474" s="2" t="str">
        <f t="shared" si="22"/>
        <v>Error?</v>
      </c>
    </row>
    <row r="1475" spans="1:4" x14ac:dyDescent="0.2">
      <c r="A1475" s="5">
        <v>1414</v>
      </c>
      <c r="B1475" s="1832">
        <f>'Expenditures 15-22'!K232</f>
        <v>7216</v>
      </c>
      <c r="C1475" s="2" t="s">
        <v>569</v>
      </c>
      <c r="D1475" s="2" t="str">
        <f t="shared" si="22"/>
        <v>Error?</v>
      </c>
    </row>
    <row r="1476" spans="1:4" x14ac:dyDescent="0.2">
      <c r="A1476" s="5">
        <v>1415</v>
      </c>
      <c r="B1476" s="1832">
        <f>'Expenditures 15-22'!K233</f>
        <v>5623</v>
      </c>
      <c r="C1476" s="2" t="s">
        <v>569</v>
      </c>
      <c r="D1476" s="2" t="str">
        <f t="shared" si="22"/>
        <v>Error?</v>
      </c>
    </row>
    <row r="1477" spans="1:4" x14ac:dyDescent="0.2">
      <c r="A1477" s="5">
        <v>1416</v>
      </c>
      <c r="B1477" s="1832">
        <f>'Expenditures 15-22'!K234</f>
        <v>44841</v>
      </c>
      <c r="C1477" s="2" t="s">
        <v>569</v>
      </c>
      <c r="D1477" s="2" t="str">
        <f t="shared" si="22"/>
        <v>Error?</v>
      </c>
    </row>
    <row r="1478" spans="1:4" x14ac:dyDescent="0.2">
      <c r="A1478" s="5">
        <v>1417</v>
      </c>
      <c r="B1478" s="1832">
        <f>'Expenditures 15-22'!K235</f>
        <v>1118</v>
      </c>
      <c r="C1478" s="2" t="s">
        <v>569</v>
      </c>
      <c r="D1478" s="2" t="str">
        <f t="shared" si="22"/>
        <v>Error?</v>
      </c>
    </row>
    <row r="1479" spans="1:4" x14ac:dyDescent="0.2">
      <c r="A1479" s="5">
        <v>1418</v>
      </c>
      <c r="B1479" s="1832">
        <f>'Expenditures 15-22'!K236</f>
        <v>12594</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71392</v>
      </c>
      <c r="C1481" s="2" t="s">
        <v>569</v>
      </c>
      <c r="D1481" s="2" t="str">
        <f t="shared" si="22"/>
        <v>Error?</v>
      </c>
    </row>
    <row r="1482" spans="1:4" x14ac:dyDescent="0.2">
      <c r="A1482" s="5">
        <v>1421</v>
      </c>
      <c r="B1482" s="1832">
        <f>'Expenditures 15-22'!K240</f>
        <v>18508</v>
      </c>
      <c r="C1482" s="2" t="s">
        <v>569</v>
      </c>
      <c r="D1482" s="2" t="str">
        <f t="shared" si="22"/>
        <v>Error?</v>
      </c>
    </row>
    <row r="1483" spans="1:4" x14ac:dyDescent="0.2">
      <c r="A1483" s="5">
        <v>1422</v>
      </c>
      <c r="B1483" s="1832">
        <f>'Expenditures 15-22'!K241</f>
        <v>40347</v>
      </c>
      <c r="C1483" s="2" t="s">
        <v>569</v>
      </c>
      <c r="D1483" s="2" t="str">
        <f t="shared" si="22"/>
        <v>Error?</v>
      </c>
    </row>
    <row r="1484" spans="1:4" x14ac:dyDescent="0.2">
      <c r="A1484" s="5">
        <v>1423</v>
      </c>
      <c r="B1484" s="1832">
        <f>'Expenditures 15-22'!K242</f>
        <v>39054</v>
      </c>
      <c r="C1484" s="2" t="s">
        <v>569</v>
      </c>
      <c r="D1484" s="2" t="str">
        <f t="shared" si="22"/>
        <v>Error?</v>
      </c>
    </row>
    <row r="1485" spans="1:4" x14ac:dyDescent="0.2">
      <c r="A1485" s="5">
        <v>1424</v>
      </c>
      <c r="B1485" s="1832">
        <f>'Expenditures 15-22'!K243</f>
        <v>97909</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40307</v>
      </c>
      <c r="C1487" s="2" t="s">
        <v>569</v>
      </c>
      <c r="D1487" s="2" t="str">
        <f t="shared" si="22"/>
        <v>Error?</v>
      </c>
    </row>
    <row r="1488" spans="1:4" x14ac:dyDescent="0.2">
      <c r="A1488" s="5">
        <v>1427</v>
      </c>
      <c r="B1488" s="1832">
        <f>'Expenditures 15-22'!K257</f>
        <v>40307</v>
      </c>
      <c r="C1488" s="2" t="s">
        <v>569</v>
      </c>
      <c r="D1488" s="2" t="str">
        <f t="shared" si="22"/>
        <v>Error?</v>
      </c>
    </row>
    <row r="1489" spans="1:4" x14ac:dyDescent="0.2">
      <c r="A1489" s="5">
        <v>1428</v>
      </c>
      <c r="B1489" s="1832">
        <f>'Expenditures 15-22'!K259</f>
        <v>122526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122526</v>
      </c>
      <c r="C1491" s="2" t="s">
        <v>569</v>
      </c>
      <c r="D1491" s="2" t="str">
        <f t="shared" si="22"/>
        <v>Error?</v>
      </c>
    </row>
    <row r="1492" spans="1:4" x14ac:dyDescent="0.2">
      <c r="A1492" s="5">
        <v>1431</v>
      </c>
      <c r="B1492" s="1832">
        <f>'Expenditures 15-22'!K263</f>
        <v>34972</v>
      </c>
      <c r="C1492" s="2" t="s">
        <v>569</v>
      </c>
      <c r="D1492" s="2" t="str">
        <f t="shared" si="22"/>
        <v>Error?</v>
      </c>
    </row>
    <row r="1493" spans="1:4" x14ac:dyDescent="0.2">
      <c r="A1493" s="5">
        <v>1432</v>
      </c>
      <c r="B1493" s="1832">
        <f>'Expenditures 15-22'!K264</f>
        <v>91146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7039</v>
      </c>
      <c r="C1496" s="2" t="s">
        <v>569</v>
      </c>
      <c r="D1496" s="2" t="str">
        <f t="shared" si="22"/>
        <v>Error?</v>
      </c>
    </row>
    <row r="1497" spans="1:4" x14ac:dyDescent="0.2">
      <c r="A1497" s="5">
        <v>1436</v>
      </c>
      <c r="B1497" s="1832">
        <f>'Expenditures 15-22'!K268</f>
        <v>37598</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170755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502889</v>
      </c>
      <c r="C1510" s="2" t="s">
        <v>569</v>
      </c>
      <c r="D1510" s="2" t="str">
        <f t="shared" si="22"/>
        <v>Error?</v>
      </c>
    </row>
    <row r="1511" spans="1:4" x14ac:dyDescent="0.2">
      <c r="A1511" s="5">
        <v>1450</v>
      </c>
      <c r="B1511" s="1832">
        <f>'Expenditures 15-22'!K280</f>
        <v>21156</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1131188</v>
      </c>
      <c r="C1517" s="2" t="s">
        <v>569</v>
      </c>
      <c r="D1517" s="2" t="str">
        <f t="shared" si="22"/>
        <v>Error?</v>
      </c>
    </row>
    <row r="1518" spans="1:4" x14ac:dyDescent="0.2">
      <c r="A1518" s="5">
        <v>1457</v>
      </c>
      <c r="B1518" s="1832">
        <f>'Expenditures 15-22'!K296</f>
        <v>-183224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4183643</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4183643</v>
      </c>
      <c r="C1547" s="2" t="s">
        <v>569</v>
      </c>
      <c r="D1547" s="2" t="str">
        <f t="shared" si="23"/>
        <v>Error?</v>
      </c>
    </row>
    <row r="1548" spans="1:4" x14ac:dyDescent="0.2">
      <c r="A1548" s="5">
        <v>1487</v>
      </c>
      <c r="B1548" s="1832">
        <f>'Expenditures 15-22'!G312</f>
        <v>4183643</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4183643</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4183643</v>
      </c>
      <c r="C1559" s="2" t="s">
        <v>569</v>
      </c>
      <c r="D1559" s="2" t="str">
        <f t="shared" si="23"/>
        <v>Error?</v>
      </c>
    </row>
    <row r="1560" spans="1:4" x14ac:dyDescent="0.2">
      <c r="A1560" s="5">
        <v>1499</v>
      </c>
      <c r="B1560" s="1832">
        <f>'Expenditures 15-22'!K312</f>
        <v>4183643</v>
      </c>
      <c r="C1560" s="2" t="s">
        <v>569</v>
      </c>
      <c r="D1560" s="2" t="str">
        <f t="shared" si="23"/>
        <v>Error?</v>
      </c>
    </row>
    <row r="1561" spans="1:4" x14ac:dyDescent="0.2">
      <c r="A1561" s="5">
        <v>1500</v>
      </c>
      <c r="B1561" s="1832">
        <f>'Expenditures 15-22'!K313</f>
        <v>-1725175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12695294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16222625</v>
      </c>
      <c r="C1630" s="2" t="s">
        <v>569</v>
      </c>
      <c r="D1630" s="2" t="str">
        <f t="shared" si="24"/>
        <v>Error?</v>
      </c>
    </row>
    <row r="1631" spans="1:4" x14ac:dyDescent="0.2">
      <c r="A1631" s="5">
        <v>1570</v>
      </c>
      <c r="B1631" s="1832">
        <f>'Acct Summary 7-8'!D79</f>
        <v>1985045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1449395</v>
      </c>
      <c r="C1644" s="2" t="s">
        <v>569</v>
      </c>
      <c r="D1644" s="2" t="str">
        <f t="shared" si="24"/>
        <v>Error?</v>
      </c>
    </row>
    <row r="1645" spans="1:4" x14ac:dyDescent="0.2">
      <c r="A1645" s="5">
        <v>1584</v>
      </c>
      <c r="B1645" s="1832">
        <f>'Acct Summary 7-8'!E79</f>
        <v>879843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1660545</v>
      </c>
      <c r="C1658" s="2" t="s">
        <v>569</v>
      </c>
      <c r="D1658" s="2" t="str">
        <f t="shared" si="24"/>
        <v>Error?</v>
      </c>
    </row>
    <row r="1659" spans="1:4" x14ac:dyDescent="0.2">
      <c r="A1659" s="5">
        <v>1598</v>
      </c>
      <c r="B1659" s="1832">
        <f>'Acct Summary 7-8'!F79</f>
        <v>1894797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1479629</v>
      </c>
      <c r="C1672" s="2" t="s">
        <v>569</v>
      </c>
      <c r="D1672" s="2" t="str">
        <f t="shared" si="25"/>
        <v>Error?</v>
      </c>
    </row>
    <row r="1673" spans="1:4" x14ac:dyDescent="0.2">
      <c r="A1673" s="5">
        <v>1612</v>
      </c>
      <c r="B1673" s="1832">
        <f>'Acct Summary 7-8'!G79</f>
        <v>875996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692772</v>
      </c>
      <c r="C1686" s="2" t="s">
        <v>569</v>
      </c>
      <c r="D1686" s="2" t="str">
        <f t="shared" si="25"/>
        <v>Error?</v>
      </c>
    </row>
    <row r="1687" spans="1:4" x14ac:dyDescent="0.2">
      <c r="A1687" s="5">
        <v>1626</v>
      </c>
      <c r="B1687" s="1832">
        <f>'Acct Summary 7-8'!H79</f>
        <v>7114005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5388830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43855065</v>
      </c>
      <c r="C1744" s="2" t="s">
        <v>569</v>
      </c>
      <c r="D1744" s="2" t="str">
        <f t="shared" si="26"/>
        <v>Error?</v>
      </c>
    </row>
    <row r="1745" spans="1:5" x14ac:dyDescent="0.2">
      <c r="A1745" s="5">
        <v>1684</v>
      </c>
      <c r="B1745" s="1832">
        <f>'Tax Sched 23'!B5</f>
        <v>5486263</v>
      </c>
      <c r="C1745" s="2" t="s">
        <v>569</v>
      </c>
      <c r="D1745" s="2" t="str">
        <f t="shared" si="26"/>
        <v>Error?</v>
      </c>
    </row>
    <row r="1746" spans="1:5" x14ac:dyDescent="0.2">
      <c r="A1746" s="5">
        <v>1685</v>
      </c>
      <c r="B1746" s="1832">
        <f>'Tax Sched 23'!B6</f>
        <v>6546</v>
      </c>
      <c r="C1746" s="2" t="s">
        <v>569</v>
      </c>
      <c r="D1746" s="2" t="str">
        <f t="shared" si="26"/>
        <v>Error?</v>
      </c>
    </row>
    <row r="1747" spans="1:5" x14ac:dyDescent="0.2">
      <c r="A1747" s="5">
        <v>1686</v>
      </c>
      <c r="B1747" s="1832">
        <f>'Tax Sched 23'!B7</f>
        <v>1146634</v>
      </c>
      <c r="C1747" s="2" t="s">
        <v>569</v>
      </c>
      <c r="D1747" s="2" t="str">
        <f t="shared" si="26"/>
        <v>Error?</v>
      </c>
    </row>
    <row r="1748" spans="1:5" x14ac:dyDescent="0.2">
      <c r="A1748" s="5">
        <v>1687</v>
      </c>
      <c r="B1748" s="1832">
        <f>'Tax Sched 23'!B8</f>
        <v>357774</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766734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52155668</v>
      </c>
      <c r="C1759" s="2" t="s">
        <v>569</v>
      </c>
      <c r="D1759" s="2" t="str">
        <f t="shared" si="26"/>
        <v>Error?</v>
      </c>
    </row>
    <row r="1760" spans="1:5" x14ac:dyDescent="0.2">
      <c r="A1760" s="5">
        <v>1699</v>
      </c>
      <c r="B1760" s="1832">
        <f>'Tax Sched 23'!D4</f>
        <v>43855065</v>
      </c>
      <c r="C1760" s="2" t="s">
        <v>569</v>
      </c>
      <c r="D1760" s="2" t="str">
        <f t="shared" si="26"/>
        <v>Error?</v>
      </c>
    </row>
    <row r="1761" spans="1:7" x14ac:dyDescent="0.2">
      <c r="A1761" s="5">
        <v>1700</v>
      </c>
      <c r="B1761" s="1832">
        <f>'Tax Sched 23'!D5</f>
        <v>5486263</v>
      </c>
      <c r="C1761" s="2" t="s">
        <v>569</v>
      </c>
      <c r="D1761" s="2" t="str">
        <f t="shared" si="26"/>
        <v>Error?</v>
      </c>
    </row>
    <row r="1762" spans="1:7" s="8" customFormat="1" x14ac:dyDescent="0.2">
      <c r="A1762" s="5">
        <v>1701</v>
      </c>
      <c r="B1762" s="1832">
        <f>'Tax Sched 23'!D6</f>
        <v>6546</v>
      </c>
      <c r="C1762" s="2" t="s">
        <v>569</v>
      </c>
      <c r="D1762" s="2" t="str">
        <f t="shared" si="26"/>
        <v>Error?</v>
      </c>
      <c r="E1762" s="9"/>
      <c r="G1762"/>
    </row>
    <row r="1763" spans="1:7" x14ac:dyDescent="0.2">
      <c r="A1763" s="5">
        <v>1702</v>
      </c>
      <c r="B1763" s="1832">
        <f>'Tax Sched 23'!D7</f>
        <v>1146634</v>
      </c>
      <c r="C1763" s="2" t="s">
        <v>569</v>
      </c>
      <c r="D1763" s="2" t="str">
        <f t="shared" si="26"/>
        <v>Error?</v>
      </c>
    </row>
    <row r="1764" spans="1:7" x14ac:dyDescent="0.2">
      <c r="A1764" s="5">
        <v>1703</v>
      </c>
      <c r="B1764" s="1832">
        <f>'Tax Sched 23'!D8</f>
        <v>357774</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766734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52155668</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44798617</v>
      </c>
      <c r="C1792" s="2" t="s">
        <v>569</v>
      </c>
      <c r="D1792" s="2" t="str">
        <f t="shared" si="27"/>
        <v>Error?</v>
      </c>
    </row>
    <row r="1793" spans="1:4" x14ac:dyDescent="0.2">
      <c r="A1793" s="5">
        <v>1732</v>
      </c>
      <c r="B1793" s="1832">
        <f>'Tax Sched 23'!F5</f>
        <v>5731532</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1158787</v>
      </c>
      <c r="C1795" s="2" t="s">
        <v>569</v>
      </c>
      <c r="D1795" s="2" t="str">
        <f t="shared" si="27"/>
        <v>Error?</v>
      </c>
    </row>
    <row r="1796" spans="1:4" x14ac:dyDescent="0.2">
      <c r="A1796" s="5">
        <v>1735</v>
      </c>
      <c r="B1796" s="1832">
        <f>'Tax Sched 23'!F8</f>
        <v>375278</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980512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53600976</v>
      </c>
      <c r="C1807" s="2" t="s">
        <v>569</v>
      </c>
      <c r="D1807" s="2" t="str">
        <f t="shared" si="27"/>
        <v>Error?</v>
      </c>
    </row>
    <row r="1808" spans="1:4" x14ac:dyDescent="0.2">
      <c r="A1808" s="5">
        <v>1747</v>
      </c>
      <c r="B1808" s="1832">
        <f>'Tax Sched 23'!E4</f>
        <v>44798617</v>
      </c>
      <c r="D1808" s="2" t="str">
        <f t="shared" si="27"/>
        <v>Error?</v>
      </c>
    </row>
    <row r="1809" spans="1:4" x14ac:dyDescent="0.2">
      <c r="A1809" s="5">
        <v>1748</v>
      </c>
      <c r="B1809" s="1832">
        <f>'Tax Sched 23'!E5</f>
        <v>5731532</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1158787</v>
      </c>
      <c r="D1811" s="2" t="str">
        <f t="shared" si="27"/>
        <v>Error?</v>
      </c>
    </row>
    <row r="1812" spans="1:4" x14ac:dyDescent="0.2">
      <c r="A1812" s="5">
        <v>1751</v>
      </c>
      <c r="B1812" s="1832">
        <f>'Tax Sched 23'!E8</f>
        <v>375278</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980512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53600976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20190000</v>
      </c>
      <c r="C1939" s="2" t="s">
        <v>569</v>
      </c>
      <c r="D1939" s="2" t="str">
        <f t="shared" si="29"/>
        <v>Error?</v>
      </c>
    </row>
    <row r="1940" spans="1:5" x14ac:dyDescent="0.2">
      <c r="A1940" s="5">
        <v>1879</v>
      </c>
      <c r="B1940" s="1832">
        <f>'Short-Term Long-Term Debt 24'!F49</f>
        <v>2915000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766734</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766734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766734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127188</v>
      </c>
      <c r="D2008" s="2" t="str">
        <f t="shared" si="30"/>
        <v>Error?</v>
      </c>
    </row>
    <row r="2009" spans="1:4" x14ac:dyDescent="0.2">
      <c r="A2009" s="5">
        <v>1948</v>
      </c>
      <c r="B2009" s="1832">
        <f>'Cap Outlay Deprec 26'!C8</f>
        <v>99123406</v>
      </c>
      <c r="D2009" s="2" t="str">
        <f t="shared" si="30"/>
        <v>Error?</v>
      </c>
    </row>
    <row r="2010" spans="1:4" x14ac:dyDescent="0.2">
      <c r="A2010" s="5">
        <v>1949</v>
      </c>
      <c r="B2010" s="1832">
        <f>'Cap Outlay Deprec 26'!C10</f>
        <v>3212990</v>
      </c>
      <c r="D2010" s="2" t="str">
        <f t="shared" si="30"/>
        <v>Error?</v>
      </c>
    </row>
    <row r="2011" spans="1:4" x14ac:dyDescent="0.2">
      <c r="A2011" s="5">
        <v>1950</v>
      </c>
      <c r="B2011" s="1832">
        <f>'Cap Outlay Deprec 26'!C12</f>
        <v>31918068</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134381652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7298859</v>
      </c>
      <c r="D2015" s="2" t="str">
        <f t="shared" si="30"/>
        <v>Error?</v>
      </c>
    </row>
    <row r="2016" spans="1:4" x14ac:dyDescent="0.2">
      <c r="A2016" s="5">
        <v>1955</v>
      </c>
      <c r="B2016" s="1832">
        <f>'Cap Outlay Deprec 26'!D10</f>
        <v>101237</v>
      </c>
      <c r="D2016" s="2" t="str">
        <f t="shared" si="30"/>
        <v>Error?</v>
      </c>
    </row>
    <row r="2017" spans="1:4" x14ac:dyDescent="0.2">
      <c r="A2017" s="5">
        <v>1956</v>
      </c>
      <c r="B2017" s="1832">
        <f>'Cap Outlay Deprec 26'!D12</f>
        <v>1609547</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9009643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127188</v>
      </c>
      <c r="C2026" s="2" t="s">
        <v>569</v>
      </c>
      <c r="D2026" s="2" t="str">
        <f t="shared" si="30"/>
        <v>Error?</v>
      </c>
    </row>
    <row r="2027" spans="1:4" x14ac:dyDescent="0.2">
      <c r="A2027" s="5">
        <v>1966</v>
      </c>
      <c r="B2027" s="1832">
        <f>'Cap Outlay Deprec 26'!F8</f>
        <v>106422265</v>
      </c>
      <c r="C2027" s="2" t="s">
        <v>569</v>
      </c>
      <c r="D2027" s="2" t="str">
        <f t="shared" si="30"/>
        <v>Error?</v>
      </c>
    </row>
    <row r="2028" spans="1:4" x14ac:dyDescent="0.2">
      <c r="A2028" s="5">
        <v>1967</v>
      </c>
      <c r="B2028" s="1832">
        <f>'Cap Outlay Deprec 26'!F10</f>
        <v>3314227</v>
      </c>
      <c r="C2028" s="2" t="s">
        <v>569</v>
      </c>
      <c r="D2028" s="2" t="str">
        <f t="shared" si="30"/>
        <v>Error?</v>
      </c>
    </row>
    <row r="2029" spans="1:4" x14ac:dyDescent="0.2">
      <c r="A2029" s="5">
        <v>1968</v>
      </c>
      <c r="B2029" s="1832">
        <f>'Cap Outlay Deprec 26'!F12</f>
        <v>33527615</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143391295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28995418</v>
      </c>
      <c r="D2033" s="2" t="str">
        <f t="shared" si="30"/>
        <v>Error?</v>
      </c>
    </row>
    <row r="2034" spans="1:4" x14ac:dyDescent="0.2">
      <c r="A2034" s="5">
        <v>1973</v>
      </c>
      <c r="B2034" s="1832">
        <f>'Cap Outlay Deprec 26'!H10</f>
        <v>1159548</v>
      </c>
      <c r="D2034" s="2" t="str">
        <f t="shared" si="30"/>
        <v>Error?</v>
      </c>
    </row>
    <row r="2035" spans="1:4" x14ac:dyDescent="0.2">
      <c r="A2035" s="5">
        <v>1974</v>
      </c>
      <c r="B2035" s="1832">
        <f>'Cap Outlay Deprec 26'!H12</f>
        <v>22555449</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52710415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1975300</v>
      </c>
      <c r="D2039" s="2" t="str">
        <f t="shared" si="30"/>
        <v>Error?</v>
      </c>
    </row>
    <row r="2040" spans="1:4" x14ac:dyDescent="0.2">
      <c r="A2040" s="5">
        <v>1979</v>
      </c>
      <c r="B2040" s="1832">
        <f>'Cap Outlay Deprec 26'!I10</f>
        <v>158136</v>
      </c>
      <c r="D2040" s="2" t="str">
        <f t="shared" si="30"/>
        <v>Error?</v>
      </c>
    </row>
    <row r="2041" spans="1:4" x14ac:dyDescent="0.2">
      <c r="A2041" s="5">
        <v>1980</v>
      </c>
      <c r="B2041" s="1832">
        <f>'Cap Outlay Deprec 26'!I12</f>
        <v>2185901</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4319337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30970718</v>
      </c>
      <c r="C2051" s="2" t="s">
        <v>569</v>
      </c>
      <c r="D2051" s="2" t="str">
        <f t="shared" si="31"/>
        <v>Error?</v>
      </c>
    </row>
    <row r="2052" spans="1:4" x14ac:dyDescent="0.2">
      <c r="A2052" s="5">
        <v>1991</v>
      </c>
      <c r="B2052" s="1832">
        <f>'Cap Outlay Deprec 26'!K10</f>
        <v>1317684</v>
      </c>
      <c r="C2052" s="2" t="s">
        <v>569</v>
      </c>
      <c r="D2052" s="2" t="str">
        <f t="shared" si="31"/>
        <v>Error?</v>
      </c>
    </row>
    <row r="2053" spans="1:4" x14ac:dyDescent="0.2">
      <c r="A2053" s="5">
        <v>1992</v>
      </c>
      <c r="B2053" s="1832">
        <f>'Cap Outlay Deprec 26'!K12</f>
        <v>24741350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57029752</v>
      </c>
      <c r="C2055" s="2" t="s">
        <v>569</v>
      </c>
      <c r="D2055" s="2" t="str">
        <f t="shared" si="31"/>
        <v>Error?</v>
      </c>
    </row>
    <row r="2056" spans="1:4" x14ac:dyDescent="0.2">
      <c r="A2056" s="5">
        <v>1995</v>
      </c>
      <c r="B2056" s="1832">
        <f>'Cap Outlay Deprec 26'!L5</f>
        <v>127188</v>
      </c>
      <c r="C2056" s="2" t="s">
        <v>569</v>
      </c>
      <c r="D2056" s="2" t="str">
        <f t="shared" si="31"/>
        <v>Error?</v>
      </c>
    </row>
    <row r="2057" spans="1:4" x14ac:dyDescent="0.2">
      <c r="A2057" s="5">
        <v>1996</v>
      </c>
      <c r="B2057" s="1832">
        <f>'Cap Outlay Deprec 26'!L8</f>
        <v>75451547</v>
      </c>
      <c r="C2057" s="2" t="s">
        <v>569</v>
      </c>
      <c r="D2057" s="2" t="str">
        <f t="shared" si="31"/>
        <v>Error?</v>
      </c>
    </row>
    <row r="2058" spans="1:4" x14ac:dyDescent="0.2">
      <c r="A2058" s="5">
        <v>1997</v>
      </c>
      <c r="B2058" s="1832">
        <f>'Cap Outlay Deprec 26'!L10</f>
        <v>1996543</v>
      </c>
      <c r="C2058" s="2" t="s">
        <v>569</v>
      </c>
      <c r="D2058" s="2" t="str">
        <f t="shared" si="31"/>
        <v>Error?</v>
      </c>
    </row>
    <row r="2059" spans="1:4" x14ac:dyDescent="0.2">
      <c r="A2059" s="5">
        <v>1998</v>
      </c>
      <c r="B2059" s="1832">
        <f>'Cap Outlay Deprec 26'!L12</f>
        <v>8786265</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86361543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128311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441854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45874104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74899</v>
      </c>
      <c r="C2553" s="2" t="s">
        <v>569</v>
      </c>
      <c r="D2553" s="2" t="str">
        <f t="shared" si="38"/>
        <v>Error?</v>
      </c>
    </row>
    <row r="2554" spans="1:4" x14ac:dyDescent="0.2">
      <c r="A2554" s="5">
        <v>2493</v>
      </c>
      <c r="B2554" s="1832">
        <f>'Acct Summary 7-8'!C7</f>
        <v>883855</v>
      </c>
      <c r="C2554" s="2" t="s">
        <v>569</v>
      </c>
      <c r="D2554" s="2" t="str">
        <f t="shared" si="38"/>
        <v>Error?</v>
      </c>
    </row>
    <row r="2555" spans="1:4" x14ac:dyDescent="0.2">
      <c r="A2555" s="5">
        <v>2494</v>
      </c>
      <c r="B2555" s="1832">
        <f>'Acct Summary 7-8'!C8</f>
        <v>46832858</v>
      </c>
      <c r="C2555" s="2" t="s">
        <v>569</v>
      </c>
      <c r="D2555" s="2" t="str">
        <f t="shared" si="38"/>
        <v>Error?</v>
      </c>
    </row>
    <row r="2556" spans="1:4" x14ac:dyDescent="0.2">
      <c r="A2556" s="5">
        <v>2495</v>
      </c>
      <c r="B2556" s="1832">
        <f>'Acct Summary 7-8'!C12</f>
        <v>28492357</v>
      </c>
      <c r="C2556" s="2" t="s">
        <v>569</v>
      </c>
      <c r="D2556" s="2" t="str">
        <f t="shared" si="38"/>
        <v>Error?</v>
      </c>
    </row>
    <row r="2557" spans="1:4" x14ac:dyDescent="0.2">
      <c r="A2557" s="5">
        <v>2496</v>
      </c>
      <c r="B2557" s="1832">
        <f>'Acct Summary 7-8'!C13</f>
        <v>13230291</v>
      </c>
      <c r="C2557" s="2" t="s">
        <v>569</v>
      </c>
      <c r="D2557" s="2" t="str">
        <f t="shared" si="38"/>
        <v>Error?</v>
      </c>
    </row>
    <row r="2558" spans="1:4" x14ac:dyDescent="0.2">
      <c r="A2558" s="5">
        <v>2497</v>
      </c>
      <c r="B2558" s="1832">
        <f>'Acct Summary 7-8'!C14</f>
        <v>162002</v>
      </c>
      <c r="C2558" s="2" t="s">
        <v>569</v>
      </c>
      <c r="D2558" s="2" t="str">
        <f t="shared" si="38"/>
        <v>Error?</v>
      </c>
    </row>
    <row r="2559" spans="1:4" x14ac:dyDescent="0.2">
      <c r="A2559" s="5">
        <v>2498</v>
      </c>
      <c r="B2559" s="1832">
        <f>'Acct Summary 7-8'!C15</f>
        <v>441854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42326504</v>
      </c>
      <c r="C2561" s="2" t="s">
        <v>569</v>
      </c>
      <c r="D2561" s="2" t="str">
        <f t="shared" si="39"/>
        <v>Error?</v>
      </c>
    </row>
    <row r="2562" spans="1:4" x14ac:dyDescent="0.2">
      <c r="A2562" s="5">
        <v>2501</v>
      </c>
      <c r="B2562" s="1832">
        <f>'Acct Summary 7-8'!C20</f>
        <v>4506354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5553329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5553329</v>
      </c>
      <c r="C2568" s="2" t="s">
        <v>569</v>
      </c>
      <c r="D2568" s="2" t="str">
        <f t="shared" si="39"/>
        <v>Error?</v>
      </c>
    </row>
    <row r="2569" spans="1:4" x14ac:dyDescent="0.2">
      <c r="A2569" s="5">
        <v>2508</v>
      </c>
      <c r="B2569" s="1832">
        <f>'Acct Summary 7-8'!D13</f>
        <v>6053149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6053149</v>
      </c>
      <c r="C2573" s="2" t="s">
        <v>569</v>
      </c>
      <c r="D2573" s="2" t="str">
        <f t="shared" si="39"/>
        <v>Error?</v>
      </c>
    </row>
    <row r="2574" spans="1:4" x14ac:dyDescent="0.2">
      <c r="A2574" s="5">
        <v>2513</v>
      </c>
      <c r="B2574" s="1832">
        <f>'Acct Summary 7-8'!D20</f>
        <v>-499820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1238594</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246984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1485578</v>
      </c>
      <c r="C2595" s="2" t="s">
        <v>569</v>
      </c>
      <c r="D2595" s="2" t="str">
        <f t="shared" si="39"/>
        <v>Error?</v>
      </c>
    </row>
    <row r="2596" spans="1:4" x14ac:dyDescent="0.2">
      <c r="A2596" s="5">
        <v>2535</v>
      </c>
      <c r="B2596" s="1832">
        <f>'Acct Summary 7-8'!F13</f>
        <v>1400746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1400746</v>
      </c>
      <c r="C2600" s="2" t="s">
        <v>569</v>
      </c>
      <c r="D2600" s="2" t="str">
        <f t="shared" si="39"/>
        <v>Error?</v>
      </c>
    </row>
    <row r="2601" spans="1:4" x14ac:dyDescent="0.2">
      <c r="A2601" s="5">
        <v>2540</v>
      </c>
      <c r="B2601" s="1832">
        <f>'Acct Summary 7-8'!F20</f>
        <v>84832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947964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947964</v>
      </c>
      <c r="C2606" s="2" t="s">
        <v>569</v>
      </c>
      <c r="D2606" s="2" t="str">
        <f t="shared" si="39"/>
        <v>Error?</v>
      </c>
    </row>
    <row r="2607" spans="1:4" x14ac:dyDescent="0.2">
      <c r="A2607" s="5">
        <v>2546</v>
      </c>
      <c r="B2607" s="1832">
        <f>'Acct Summary 7-8'!G12</f>
        <v>607143</v>
      </c>
      <c r="C2607" s="2" t="s">
        <v>569</v>
      </c>
      <c r="D2607" s="2" t="str">
        <f t="shared" si="39"/>
        <v>Error?</v>
      </c>
    </row>
    <row r="2608" spans="1:4" x14ac:dyDescent="0.2">
      <c r="A2608" s="5">
        <v>2547</v>
      </c>
      <c r="B2608" s="1832">
        <f>'Acct Summary 7-8'!G13</f>
        <v>502889</v>
      </c>
      <c r="C2608" s="2" t="s">
        <v>569</v>
      </c>
      <c r="D2608" s="2" t="str">
        <f t="shared" si="39"/>
        <v>Error?</v>
      </c>
    </row>
    <row r="2609" spans="1:4" x14ac:dyDescent="0.2">
      <c r="A2609" s="5">
        <v>2548</v>
      </c>
      <c r="B2609" s="1832">
        <f>'Acct Summary 7-8'!G14</f>
        <v>21156</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1131188</v>
      </c>
      <c r="C2612" s="2" t="s">
        <v>569</v>
      </c>
      <c r="D2612" s="2" t="str">
        <f t="shared" si="39"/>
        <v>Error?</v>
      </c>
    </row>
    <row r="2613" spans="1:4" x14ac:dyDescent="0.2">
      <c r="A2613" s="5">
        <v>2552</v>
      </c>
      <c r="B2613" s="1832">
        <f>'Acct Summary 7-8'!G20</f>
        <v>-183224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6546</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6546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740697</v>
      </c>
      <c r="C2634" s="2" t="s">
        <v>569</v>
      </c>
      <c r="D2634" s="2" t="str">
        <f t="shared" si="40"/>
        <v>Error?</v>
      </c>
    </row>
    <row r="2635" spans="1:4" x14ac:dyDescent="0.2">
      <c r="A2635" s="5">
        <v>2574</v>
      </c>
      <c r="B2635" s="1832">
        <f>'Acct Summary 7-8'!E17</f>
        <v>740697</v>
      </c>
      <c r="C2635" s="2" t="s">
        <v>569</v>
      </c>
      <c r="D2635" s="2" t="str">
        <f t="shared" si="40"/>
        <v>Error?</v>
      </c>
    </row>
    <row r="2636" spans="1:4" x14ac:dyDescent="0.2">
      <c r="A2636" s="5">
        <v>2575</v>
      </c>
      <c r="B2636" s="1832">
        <f>'Acct Summary 7-8'!E20</f>
        <v>-734151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634291</v>
      </c>
      <c r="C2655" s="2" t="s">
        <v>569</v>
      </c>
      <c r="D2655" s="2" t="str">
        <f t="shared" si="40"/>
        <v>Error?</v>
      </c>
    </row>
    <row r="2656" spans="1:4" x14ac:dyDescent="0.2">
      <c r="A2656" s="5">
        <v>2595</v>
      </c>
      <c r="B2656" s="1832">
        <f>'Acct Summary 7-8'!H6</f>
        <v>1824177</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2458468</v>
      </c>
      <c r="C2658" s="2" t="s">
        <v>569</v>
      </c>
      <c r="D2658" s="2" t="str">
        <f t="shared" si="40"/>
        <v>Error?</v>
      </c>
    </row>
    <row r="2659" spans="1:4" x14ac:dyDescent="0.2">
      <c r="A2659" s="5">
        <v>2598</v>
      </c>
      <c r="B2659" s="1832">
        <f>'Acct Summary 7-8'!H13</f>
        <v>4183643</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4183643</v>
      </c>
      <c r="C2661" s="2" t="s">
        <v>569</v>
      </c>
      <c r="D2661" s="2" t="str">
        <f t="shared" si="40"/>
        <v>Error?</v>
      </c>
    </row>
    <row r="2662" spans="1:4" x14ac:dyDescent="0.2">
      <c r="A2662" s="5">
        <v>2601</v>
      </c>
      <c r="B2662" s="1832">
        <f>'Acct Summary 7-8'!H20</f>
        <v>-1725175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313543</v>
      </c>
      <c r="C2789" s="2" t="s">
        <v>569</v>
      </c>
      <c r="D2789" s="2" t="str">
        <f t="shared" si="42"/>
        <v>Error?</v>
      </c>
    </row>
    <row r="2790" spans="1:4" x14ac:dyDescent="0.2">
      <c r="A2790" s="5">
        <v>2729</v>
      </c>
      <c r="B2790" s="1832">
        <f>'Expenditures 15-22'!E102</f>
        <v>313543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122456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122456</v>
      </c>
      <c r="D2914" s="2" t="str">
        <f t="shared" si="44"/>
        <v>Error?</v>
      </c>
    </row>
    <row r="2915" spans="1:4" x14ac:dyDescent="0.2">
      <c r="A2915" s="10">
        <v>2854</v>
      </c>
      <c r="B2915" s="1832"/>
      <c r="D2915" s="2" t="str">
        <f t="shared" si="44"/>
        <v>OK</v>
      </c>
    </row>
    <row r="2916" spans="1:4" x14ac:dyDescent="0.2">
      <c r="A2916" s="5">
        <v>2855</v>
      </c>
      <c r="B2916" s="1832">
        <f>'Assets-Liab 5-6'!L34</f>
        <v>122456</v>
      </c>
      <c r="C2916" s="2" t="s">
        <v>569</v>
      </c>
      <c r="D2916" s="2" t="str">
        <f t="shared" si="44"/>
        <v>Error?</v>
      </c>
    </row>
    <row r="2917" spans="1:4" x14ac:dyDescent="0.2">
      <c r="A2917" s="5">
        <v>2856</v>
      </c>
      <c r="B2917" s="1832">
        <f>'Assets-Liab 5-6'!L41</f>
        <v>122456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313543</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128311</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441854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2915000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500000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1479023</v>
      </c>
      <c r="C3231" s="2" t="s">
        <v>569</v>
      </c>
      <c r="D3231" s="2" t="str">
        <f t="shared" si="49"/>
        <v>Error?</v>
      </c>
    </row>
    <row r="3232" spans="1:4" x14ac:dyDescent="0.2">
      <c r="A3232" s="5">
        <v>3171</v>
      </c>
      <c r="B3232" s="1832">
        <f>'Acct Summary 7-8'!C77</f>
        <v>-979023</v>
      </c>
      <c r="C3232" s="2" t="s">
        <v>569</v>
      </c>
      <c r="D3232" s="2" t="str">
        <f t="shared" si="49"/>
        <v>Error?</v>
      </c>
    </row>
    <row r="3233" spans="1:4" x14ac:dyDescent="0.2">
      <c r="A3233" s="5">
        <v>3172</v>
      </c>
      <c r="B3233" s="1832">
        <f>'Acct Summary 7-8'!C78</f>
        <v>3527331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35830</v>
      </c>
      <c r="C3237" s="2" t="s">
        <v>569</v>
      </c>
      <c r="D3237" s="2" t="str">
        <f t="shared" si="49"/>
        <v>Error?</v>
      </c>
    </row>
    <row r="3238" spans="1:4" x14ac:dyDescent="0.2">
      <c r="A3238" s="5">
        <v>3177</v>
      </c>
      <c r="B3238" s="1832">
        <f>'Acct Summary 7-8'!D77</f>
        <v>-35830</v>
      </c>
      <c r="C3238" s="2" t="s">
        <v>569</v>
      </c>
      <c r="D3238" s="2" t="str">
        <f t="shared" si="49"/>
        <v>Error?</v>
      </c>
    </row>
    <row r="3239" spans="1:4" x14ac:dyDescent="0.2">
      <c r="A3239" s="5">
        <v>3178</v>
      </c>
      <c r="B3239" s="1832">
        <f>'Acct Summary 7-8'!D78</f>
        <v>-535650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500000</v>
      </c>
      <c r="C3254" s="2" t="s">
        <v>569</v>
      </c>
      <c r="D3254" s="2" t="str">
        <f t="shared" si="49"/>
        <v>Error?</v>
      </c>
    </row>
    <row r="3255" spans="1:4" x14ac:dyDescent="0.2">
      <c r="A3255" s="5">
        <v>3194</v>
      </c>
      <c r="B3255" s="1832">
        <f>'Acct Summary 7-8'!F77</f>
        <v>-500000</v>
      </c>
      <c r="C3255" s="2" t="s">
        <v>569</v>
      </c>
      <c r="D3255" s="2" t="str">
        <f t="shared" si="49"/>
        <v>Error?</v>
      </c>
    </row>
    <row r="3256" spans="1:4" x14ac:dyDescent="0.2">
      <c r="A3256" s="5">
        <v>3195</v>
      </c>
      <c r="B3256" s="1832">
        <f>'Acct Summary 7-8'!F78</f>
        <v>-415168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-183224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4429853</v>
      </c>
      <c r="C3274" s="2" t="s">
        <v>569</v>
      </c>
      <c r="D3274" s="2" t="str">
        <f t="shared" si="50"/>
        <v>Error?</v>
      </c>
    </row>
    <row r="3275" spans="1:4" x14ac:dyDescent="0.2">
      <c r="A3275" s="5">
        <v>3214</v>
      </c>
      <c r="B3275" s="1832">
        <f>'Acct Summary 7-8'!E75</f>
        <v>2915000</v>
      </c>
      <c r="D3275" s="2" t="str">
        <f t="shared" si="50"/>
        <v>Error?</v>
      </c>
    </row>
    <row r="3276" spans="1:4" x14ac:dyDescent="0.2">
      <c r="A3276" s="5">
        <v>3215</v>
      </c>
      <c r="B3276" s="1832">
        <f>'Acct Summary 7-8'!E76</f>
        <v>2915000</v>
      </c>
      <c r="C3276" s="2" t="s">
        <v>569</v>
      </c>
      <c r="D3276" s="2" t="str">
        <f t="shared" si="50"/>
        <v>Error?</v>
      </c>
    </row>
    <row r="3277" spans="1:4" x14ac:dyDescent="0.2">
      <c r="A3277" s="5">
        <v>3216</v>
      </c>
      <c r="B3277" s="1832">
        <f>'Acct Summary 7-8'!E77</f>
        <v>1514853</v>
      </c>
      <c r="C3277" s="2" t="s">
        <v>569</v>
      </c>
      <c r="D3277" s="2" t="str">
        <f t="shared" si="50"/>
        <v>Error?</v>
      </c>
    </row>
    <row r="3278" spans="1:4" x14ac:dyDescent="0.2">
      <c r="A3278" s="5">
        <v>3217</v>
      </c>
      <c r="B3278" s="1832">
        <f>'Acct Summary 7-8'!E78</f>
        <v>780702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-1725175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5239631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1069215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135452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127564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30984</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280453</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6883299</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246868</v>
      </c>
      <c r="D3387" s="2" t="str">
        <f t="shared" si="51"/>
        <v>Error?</v>
      </c>
    </row>
    <row r="3388" spans="1:4" x14ac:dyDescent="0.2">
      <c r="A3388" s="5">
        <v>3327</v>
      </c>
      <c r="B3388" s="1832">
        <f>'Expenditures 15-22'!D217</f>
        <v>327700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246868</v>
      </c>
      <c r="C3390" s="2" t="s">
        <v>569</v>
      </c>
      <c r="D3390" s="2" t="str">
        <f t="shared" si="51"/>
        <v>Error?</v>
      </c>
    </row>
    <row r="3391" spans="1:4" x14ac:dyDescent="0.2">
      <c r="A3391" s="5">
        <v>3330</v>
      </c>
      <c r="B3391" s="1832">
        <f>'Expenditures 15-22'!K217</f>
        <v>327700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38010470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4054491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1682942</v>
      </c>
      <c r="D3417" s="2" t="str">
        <f t="shared" si="52"/>
        <v>Error?</v>
      </c>
    </row>
    <row r="3418" spans="1:4" x14ac:dyDescent="0.2">
      <c r="A3418" s="10">
        <v>3357</v>
      </c>
      <c r="B3418" s="1832"/>
      <c r="D3418" s="2" t="str">
        <f t="shared" si="52"/>
        <v>OK</v>
      </c>
    </row>
    <row r="3419" spans="1:4" x14ac:dyDescent="0.2">
      <c r="A3419" s="5">
        <v>3358</v>
      </c>
      <c r="B3419" s="1832">
        <f>'Assets-Liab 5-6'!F4</f>
        <v>1905615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1145789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5394332</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122456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536652</v>
      </c>
      <c r="C3446" s="2" t="s">
        <v>569</v>
      </c>
      <c r="D3446" s="2" t="str">
        <f t="shared" si="52"/>
        <v>Error?</v>
      </c>
    </row>
    <row r="3447" spans="1:4" x14ac:dyDescent="0.2">
      <c r="A3447" s="5">
        <v>3386</v>
      </c>
      <c r="B3447" s="1832">
        <f>'Tax Sched 23'!D16</f>
        <v>536652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556250</v>
      </c>
      <c r="C3449" s="2" t="s">
        <v>569</v>
      </c>
      <c r="D3449" s="2" t="str">
        <f t="shared" si="52"/>
        <v>Error?</v>
      </c>
    </row>
    <row r="3450" spans="1:4" x14ac:dyDescent="0.2">
      <c r="A3450" s="5">
        <v>3389</v>
      </c>
      <c r="B3450" s="1832">
        <f>'Tax Sched 23'!E16</f>
        <v>556250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75306</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534435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534435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534435</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534435</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1275267</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1275267</v>
      </c>
      <c r="C3575" s="2" t="s">
        <v>569</v>
      </c>
      <c r="D3575" s="2" t="str">
        <f t="shared" si="54"/>
        <v>Error?</v>
      </c>
    </row>
    <row r="3576" spans="1:4" x14ac:dyDescent="0.2">
      <c r="A3576" s="5">
        <v>3515</v>
      </c>
      <c r="B3576" s="1832">
        <f>'Acct Summary 7-8'!K20</f>
        <v>-1275267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-1275267</v>
      </c>
      <c r="C3588" s="2" t="s">
        <v>569</v>
      </c>
      <c r="D3588" s="2" t="str">
        <f t="shared" si="55"/>
        <v>Error?</v>
      </c>
    </row>
    <row r="3589" spans="1:4" x14ac:dyDescent="0.2">
      <c r="A3589" s="5">
        <v>3528</v>
      </c>
      <c r="B3589" s="1832">
        <f>'Acct Summary 7-8'!K79</f>
        <v>1275267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1275267</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1275267</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1275267</v>
      </c>
      <c r="C3649" s="2" t="s">
        <v>569</v>
      </c>
      <c r="D3649" s="2" t="str">
        <f t="shared" si="56"/>
        <v>Error?</v>
      </c>
    </row>
    <row r="3650" spans="1:4" x14ac:dyDescent="0.2">
      <c r="A3650" s="5">
        <v>3589</v>
      </c>
      <c r="B3650" s="1832">
        <f>'Expenditures 15-22'!G367</f>
        <v>1275267</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1275267</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1275267</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1275267</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1275267</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-1275267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38325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22250446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69083304</v>
      </c>
      <c r="C4122" s="2" t="s">
        <v>569</v>
      </c>
      <c r="D4122" s="2" t="str">
        <f t="shared" si="63"/>
        <v>Error?</v>
      </c>
    </row>
    <row r="4123" spans="1:4" x14ac:dyDescent="0.2">
      <c r="A4123" s="5">
        <v>4062</v>
      </c>
      <c r="B4123" s="1832">
        <f>'Acct Summary 7-8'!D10</f>
        <v>5553329</v>
      </c>
      <c r="C4123" s="2" t="s">
        <v>569</v>
      </c>
      <c r="D4123" s="2" t="str">
        <f t="shared" si="63"/>
        <v>Error?</v>
      </c>
    </row>
    <row r="4124" spans="1:4" x14ac:dyDescent="0.2">
      <c r="A4124" s="5">
        <v>4063</v>
      </c>
      <c r="B4124" s="1832">
        <f>'Acct Summary 7-8'!E10</f>
        <v>6546</v>
      </c>
      <c r="C4124" s="2" t="s">
        <v>569</v>
      </c>
      <c r="D4124" s="2" t="str">
        <f t="shared" si="63"/>
        <v>Error?</v>
      </c>
    </row>
    <row r="4125" spans="1:4" x14ac:dyDescent="0.2">
      <c r="A4125" s="5">
        <v>4064</v>
      </c>
      <c r="B4125" s="1832">
        <f>'Acct Summary 7-8'!F10</f>
        <v>1485578</v>
      </c>
      <c r="C4125" s="2" t="s">
        <v>569</v>
      </c>
      <c r="D4125" s="2" t="str">
        <f t="shared" si="63"/>
        <v>Error?</v>
      </c>
    </row>
    <row r="4126" spans="1:4" x14ac:dyDescent="0.2">
      <c r="A4126" s="5">
        <v>4065</v>
      </c>
      <c r="B4126" s="1832">
        <f>'Acct Summary 7-8'!G10</f>
        <v>947964</v>
      </c>
      <c r="C4126" s="2" t="s">
        <v>569</v>
      </c>
      <c r="D4126" s="2" t="str">
        <f t="shared" si="63"/>
        <v>Error?</v>
      </c>
    </row>
    <row r="4127" spans="1:4" x14ac:dyDescent="0.2">
      <c r="A4127" s="5">
        <v>4066</v>
      </c>
      <c r="B4127" s="1832">
        <f>'Acct Summary 7-8'!H10</f>
        <v>2458468</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22250446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64576950</v>
      </c>
      <c r="C4136" s="2" t="s">
        <v>569</v>
      </c>
      <c r="D4136" s="2" t="str">
        <f t="shared" si="63"/>
        <v>Error?</v>
      </c>
    </row>
    <row r="4137" spans="1:4" x14ac:dyDescent="0.2">
      <c r="A4137" s="5">
        <v>4076</v>
      </c>
      <c r="B4137" s="1832">
        <f>'Acct Summary 7-8'!D19</f>
        <v>6053149</v>
      </c>
      <c r="C4137" s="2" t="s">
        <v>569</v>
      </c>
      <c r="D4137" s="2" t="str">
        <f t="shared" si="63"/>
        <v>Error?</v>
      </c>
    </row>
    <row r="4138" spans="1:4" x14ac:dyDescent="0.2">
      <c r="A4138" s="5">
        <v>4077</v>
      </c>
      <c r="B4138" s="1832">
        <f>'Acct Summary 7-8'!E19</f>
        <v>740697</v>
      </c>
      <c r="C4138" s="2" t="s">
        <v>569</v>
      </c>
      <c r="D4138" s="2" t="str">
        <f t="shared" si="63"/>
        <v>Error?</v>
      </c>
    </row>
    <row r="4139" spans="1:4" x14ac:dyDescent="0.2">
      <c r="A4139" s="5">
        <v>4078</v>
      </c>
      <c r="B4139" s="1832">
        <f>'Acct Summary 7-8'!F19</f>
        <v>1400746</v>
      </c>
      <c r="C4139" s="2" t="s">
        <v>569</v>
      </c>
      <c r="D4139" s="2" t="str">
        <f t="shared" si="63"/>
        <v>Error?</v>
      </c>
    </row>
    <row r="4140" spans="1:4" x14ac:dyDescent="0.2">
      <c r="A4140" s="5">
        <v>4079</v>
      </c>
      <c r="B4140" s="1832">
        <f>'Acct Summary 7-8'!G19</f>
        <v>1131188</v>
      </c>
      <c r="C4140" s="2" t="s">
        <v>569</v>
      </c>
      <c r="D4140" s="2" t="str">
        <f t="shared" si="63"/>
        <v>Error?</v>
      </c>
    </row>
    <row r="4141" spans="1:4" x14ac:dyDescent="0.2">
      <c r="A4141" s="5">
        <v>4080</v>
      </c>
      <c r="B4141" s="1832">
        <f>'Acct Summary 7-8'!H19</f>
        <v>4183643</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1275267</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20335000</v>
      </c>
      <c r="C4171" s="2" t="s">
        <v>569</v>
      </c>
      <c r="D4171" s="2" t="str">
        <f t="shared" si="64"/>
        <v>Error?</v>
      </c>
    </row>
    <row r="4172" spans="1:4" x14ac:dyDescent="0.2">
      <c r="A4172" s="5">
        <v>4111</v>
      </c>
      <c r="B4172" s="1832">
        <f>'Short-Term Long-Term Debt 24'!J49</f>
        <v>18674455</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-2770000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2607.38</v>
      </c>
      <c r="C4265" s="2" t="s">
        <v>569</v>
      </c>
      <c r="D4265" s="2" t="str">
        <f t="shared" si="65"/>
        <v>Error?</v>
      </c>
      <c r="E4265" s="125"/>
    </row>
    <row r="4266" spans="1:5" x14ac:dyDescent="0.2">
      <c r="A4266" s="12">
        <v>4205</v>
      </c>
      <c r="B4266" s="1832">
        <f>('FP Info 3'!F10)*100000</f>
        <v>333.58799999999997</v>
      </c>
      <c r="C4266" s="2" t="s">
        <v>569</v>
      </c>
      <c r="D4266" s="2" t="str">
        <f t="shared" si="65"/>
        <v>Error?</v>
      </c>
      <c r="E4266" s="125"/>
    </row>
    <row r="4267" spans="1:5" x14ac:dyDescent="0.2">
      <c r="A4267" s="12">
        <v>4206</v>
      </c>
      <c r="B4267" s="1832">
        <f>('FP Info 3'!H10)*100000</f>
        <v>67.444000000000003</v>
      </c>
      <c r="C4267" s="2" t="s">
        <v>569</v>
      </c>
      <c r="D4267" s="2" t="str">
        <f t="shared" si="65"/>
        <v>Error?</v>
      </c>
      <c r="E4267" s="125"/>
    </row>
    <row r="4268" spans="1:5" x14ac:dyDescent="0.2">
      <c r="A4268" s="12">
        <v>4207</v>
      </c>
      <c r="B4268" s="1832">
        <f>('FP Info 3'!J10)*100000</f>
        <v>3008</v>
      </c>
      <c r="C4268" s="2" t="s">
        <v>569</v>
      </c>
      <c r="D4268" s="2" t="str">
        <f t="shared" si="65"/>
        <v>Error?</v>
      </c>
    </row>
    <row r="4269" spans="1:5" x14ac:dyDescent="0.2">
      <c r="A4269" s="12">
        <v>4208</v>
      </c>
      <c r="B4269" s="1832">
        <f>'FP Info 3'!J16</f>
        <v>19151649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112971</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195326</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44522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52125</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1718146856</v>
      </c>
      <c r="D4995" s="2" t="str">
        <f t="shared" si="77"/>
        <v>Error?</v>
      </c>
    </row>
    <row r="4996" spans="1:4" x14ac:dyDescent="0.2">
      <c r="A4996" s="12">
        <v>4935</v>
      </c>
      <c r="B4996" s="1832">
        <f>'FP Info 3'!H31</f>
        <v>118552133.06400001</v>
      </c>
      <c r="D4996" s="2" t="str">
        <f t="shared" si="77"/>
        <v>Error?</v>
      </c>
    </row>
    <row r="4997" spans="1:4" x14ac:dyDescent="0.2">
      <c r="A4997" s="12">
        <v>4936</v>
      </c>
      <c r="B4997" s="1832">
        <f>'FP Info 3'!H37</f>
        <v>20335000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500000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500000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43855065</v>
      </c>
      <c r="D5061" s="2" t="str">
        <f t="shared" si="78"/>
        <v>Error?</v>
      </c>
    </row>
    <row r="5062" spans="1:4" x14ac:dyDescent="0.2">
      <c r="A5062" s="10">
        <v>5001</v>
      </c>
      <c r="B5062" s="1832"/>
      <c r="D5062" s="2" t="str">
        <f t="shared" si="78"/>
        <v>OK</v>
      </c>
    </row>
    <row r="5063" spans="1:4" x14ac:dyDescent="0.2">
      <c r="A5063" s="5">
        <v>5002</v>
      </c>
      <c r="B5063" s="1832">
        <f>'Revenues 9-14'!C7</f>
        <v>766734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44621799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227663</v>
      </c>
      <c r="D5072" s="2" t="str">
        <f t="shared" si="78"/>
        <v>Error?</v>
      </c>
    </row>
    <row r="5073" spans="1:4" x14ac:dyDescent="0.2">
      <c r="A5073" s="5">
        <v>5012</v>
      </c>
      <c r="B5073" s="1832">
        <f>'Revenues 9-14'!C21</f>
        <v>24152</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251815</v>
      </c>
      <c r="C5087" s="2" t="s">
        <v>569</v>
      </c>
      <c r="D5087" s="2" t="str">
        <f t="shared" si="78"/>
        <v>Error?</v>
      </c>
    </row>
    <row r="5088" spans="1:4" x14ac:dyDescent="0.2">
      <c r="A5088" s="5">
        <v>5027</v>
      </c>
      <c r="B5088" s="1832">
        <f>'Revenues 9-14'!C65</f>
        <v>517846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517846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22550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58088</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58088</v>
      </c>
      <c r="C5102" s="2" t="s">
        <v>569</v>
      </c>
      <c r="D5102" s="2" t="str">
        <f t="shared" si="78"/>
        <v>Error?</v>
      </c>
    </row>
    <row r="5103" spans="1:4" x14ac:dyDescent="0.2">
      <c r="A5103" s="5">
        <v>5042</v>
      </c>
      <c r="B5103" s="1832">
        <f>'Revenues 9-14'!C84</f>
        <v>368317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368317</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6970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6550</v>
      </c>
      <c r="D5118" s="2" t="str">
        <f t="shared" si="78"/>
        <v>Error?</v>
      </c>
    </row>
    <row r="5119" spans="1:4" x14ac:dyDescent="0.2">
      <c r="A5119" s="5">
        <v>5058</v>
      </c>
      <c r="B5119" s="1832">
        <f>'Revenues 9-14'!C107</f>
        <v>20169</v>
      </c>
      <c r="D5119" s="2" t="str">
        <f t="shared" ref="D5119:D5182" si="79">IF(ISBLANK(B5119),"OK",IF(A5119-B5119=0,"OK","Error?"))</f>
        <v>Error?</v>
      </c>
    </row>
    <row r="5120" spans="1:4" x14ac:dyDescent="0.2">
      <c r="A5120" s="5">
        <v>5059</v>
      </c>
      <c r="B5120" s="1832">
        <f>'Revenues 9-14'!C108</f>
        <v>33689</v>
      </c>
      <c r="C5120" s="2" t="s">
        <v>569</v>
      </c>
      <c r="D5120" s="2" t="str">
        <f t="shared" si="79"/>
        <v>Error?</v>
      </c>
    </row>
    <row r="5121" spans="1:4" x14ac:dyDescent="0.2">
      <c r="A5121" s="5">
        <v>5060</v>
      </c>
      <c r="B5121" s="1832">
        <f>'Revenues 9-14'!C109</f>
        <v>45874104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22774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22774</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74899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74899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12847</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12847</v>
      </c>
      <c r="C5246" s="2" t="s">
        <v>569</v>
      </c>
      <c r="D5246" s="2" t="str">
        <f t="shared" si="80"/>
        <v>Error?</v>
      </c>
    </row>
    <row r="5247" spans="1:4" x14ac:dyDescent="0.2">
      <c r="A5247" s="5">
        <v>5186</v>
      </c>
      <c r="B5247" s="1832">
        <f>'Revenues 9-14'!C200</f>
        <v>59362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59362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30958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615998</v>
      </c>
      <c r="D5278" s="2" t="str">
        <f t="shared" si="81"/>
        <v>Error?</v>
      </c>
    </row>
    <row r="5279" spans="1:4" x14ac:dyDescent="0.2">
      <c r="A5279" s="5">
        <v>5218</v>
      </c>
      <c r="B5279" s="1832">
        <f>'Revenues 9-14'!C214</f>
        <v>120168</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767124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883855</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883855</v>
      </c>
      <c r="C5326" s="2" t="s">
        <v>569</v>
      </c>
      <c r="D5326" s="2" t="str">
        <f t="shared" si="82"/>
        <v>Error?</v>
      </c>
    </row>
    <row r="5327" spans="1:5" x14ac:dyDescent="0.2">
      <c r="A5327" s="5">
        <v>5266</v>
      </c>
      <c r="B5327" s="1832">
        <f>'Revenues 9-14'!C268</f>
        <v>46832858</v>
      </c>
      <c r="C5327" s="2" t="s">
        <v>569</v>
      </c>
      <c r="D5327" s="2" t="str">
        <f t="shared" si="82"/>
        <v>Error?</v>
      </c>
    </row>
    <row r="5328" spans="1:5" x14ac:dyDescent="0.2">
      <c r="A5328" s="5">
        <v>5267</v>
      </c>
      <c r="B5328" s="1832">
        <f>'Revenues 9-14'!D5</f>
        <v>5486263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5486263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52425</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52425</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14641</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14641</v>
      </c>
      <c r="C5355" s="2" t="s">
        <v>569</v>
      </c>
      <c r="D5355" s="2" t="str">
        <f t="shared" si="82"/>
        <v>Error?</v>
      </c>
    </row>
    <row r="5356" spans="1:4" x14ac:dyDescent="0.2">
      <c r="A5356" s="5">
        <v>5295</v>
      </c>
      <c r="B5356" s="1832">
        <f>'Revenues 9-14'!D109</f>
        <v>5553329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5553329</v>
      </c>
      <c r="C5508" s="2" t="s">
        <v>569</v>
      </c>
      <c r="D5508" s="2" t="str">
        <f t="shared" si="85"/>
        <v>Error?</v>
      </c>
    </row>
    <row r="5509" spans="1:4" x14ac:dyDescent="0.2">
      <c r="A5509" s="5">
        <v>5448</v>
      </c>
      <c r="B5509" s="1832">
        <f>'Revenues 9-14'!E5</f>
        <v>6546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6546</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6546</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6546</v>
      </c>
      <c r="C5552" s="2" t="s">
        <v>569</v>
      </c>
      <c r="D5552" s="2" t="str">
        <f t="shared" si="85"/>
        <v>Error?</v>
      </c>
    </row>
    <row r="5553" spans="1:4" x14ac:dyDescent="0.2">
      <c r="A5553" s="5">
        <v>5492</v>
      </c>
      <c r="B5553" s="1832">
        <f>'Revenues 9-14'!F5</f>
        <v>1146634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1146634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70430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70430</v>
      </c>
      <c r="C5579" s="2" t="s">
        <v>569</v>
      </c>
      <c r="D5579" s="2" t="str">
        <f t="shared" si="86"/>
        <v>Error?</v>
      </c>
    </row>
    <row r="5580" spans="1:4" x14ac:dyDescent="0.2">
      <c r="A5580" s="5">
        <v>5519</v>
      </c>
      <c r="B5580" s="1832">
        <f>'Revenues 9-14'!F65</f>
        <v>21530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21530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1238594</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19858</v>
      </c>
      <c r="D5615" s="2" t="str">
        <f t="shared" si="86"/>
        <v>Error?</v>
      </c>
    </row>
    <row r="5616" spans="1:4" x14ac:dyDescent="0.2">
      <c r="A5616" s="10">
        <v>5555</v>
      </c>
      <c r="B5616" s="1832"/>
      <c r="D5616" s="2" t="str">
        <f t="shared" si="86"/>
        <v>OK</v>
      </c>
    </row>
    <row r="5617" spans="1:5" x14ac:dyDescent="0.2">
      <c r="A5617" s="5">
        <v>5556</v>
      </c>
      <c r="B5617" s="1832">
        <f>'Revenues 9-14'!F153</f>
        <v>227126</v>
      </c>
      <c r="D5617" s="2" t="str">
        <f t="shared" si="86"/>
        <v>Error?</v>
      </c>
    </row>
    <row r="5618" spans="1:5" x14ac:dyDescent="0.2">
      <c r="A5618" s="5">
        <v>5557</v>
      </c>
      <c r="B5618" s="1832">
        <f>'Revenues 9-14'!F155</f>
        <v>246984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246984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246984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1485578</v>
      </c>
      <c r="C5720" s="2" t="s">
        <v>569</v>
      </c>
      <c r="D5720" s="2" t="str">
        <f t="shared" si="88"/>
        <v>Error?</v>
      </c>
    </row>
    <row r="5721" spans="1:4" x14ac:dyDescent="0.2">
      <c r="A5721" s="5">
        <v>5660</v>
      </c>
      <c r="B5721" s="1832">
        <f>'Revenues 9-14'!G5</f>
        <v>357774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536652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894426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37448</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37448</v>
      </c>
      <c r="C5730" s="2" t="s">
        <v>569</v>
      </c>
      <c r="D5730" s="2" t="str">
        <f t="shared" si="88"/>
        <v>Error?</v>
      </c>
    </row>
    <row r="5731" spans="1:4" x14ac:dyDescent="0.2">
      <c r="A5731" s="5">
        <v>5670</v>
      </c>
      <c r="B5731" s="1832">
        <f>'Revenues 9-14'!G65</f>
        <v>16090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16090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947964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490689</v>
      </c>
      <c r="D5876" s="2" t="str">
        <f t="shared" si="90"/>
        <v>Error?</v>
      </c>
    </row>
    <row r="5877" spans="1:4" x14ac:dyDescent="0.2">
      <c r="A5877" s="5">
        <v>5816</v>
      </c>
      <c r="B5877" s="1832">
        <f>'Revenues 9-14'!H17</f>
        <v>31764</v>
      </c>
      <c r="D5877" s="2" t="str">
        <f t="shared" si="90"/>
        <v>Error?</v>
      </c>
    </row>
    <row r="5878" spans="1:4" x14ac:dyDescent="0.2">
      <c r="A5878" s="5">
        <v>5817</v>
      </c>
      <c r="B5878" s="1832">
        <f>'Revenues 9-14'!H18</f>
        <v>522453</v>
      </c>
      <c r="C5878" s="2" t="s">
        <v>569</v>
      </c>
      <c r="D5878" s="2" t="str">
        <f t="shared" si="90"/>
        <v>Error?</v>
      </c>
    </row>
    <row r="5879" spans="1:4" x14ac:dyDescent="0.2">
      <c r="A5879" s="5">
        <v>5818</v>
      </c>
      <c r="B5879" s="1832">
        <f>'Revenues 9-14'!H65</f>
        <v>111838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111838</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1824177</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1824177</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2458468</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947964</v>
      </c>
      <c r="C6024" s="2" t="s">
        <v>569</v>
      </c>
      <c r="D6024" s="2" t="str">
        <f t="shared" si="93"/>
        <v>Error?</v>
      </c>
    </row>
    <row r="6025" spans="1:5" x14ac:dyDescent="0.2">
      <c r="A6025" s="5">
        <v>5964</v>
      </c>
      <c r="B6025" s="1832">
        <f>'Revenues 9-14'!H109</f>
        <v>634291</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22550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2913.8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123232</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61133</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161395</v>
      </c>
      <c r="D6099" s="2" t="str">
        <f t="shared" si="94"/>
        <v>Error?</v>
      </c>
      <c r="E6099" s="2" t="s">
        <v>189</v>
      </c>
    </row>
    <row r="6100" spans="1:5" x14ac:dyDescent="0.2">
      <c r="A6100">
        <v>6039</v>
      </c>
      <c r="B6100" s="1832">
        <f>'Assets-Liab 5-6'!D9</f>
        <v>9818</v>
      </c>
      <c r="D6100" s="2" t="str">
        <f t="shared" si="94"/>
        <v>Error?</v>
      </c>
      <c r="E6100" s="2" t="s">
        <v>189</v>
      </c>
    </row>
    <row r="6101" spans="1:5" x14ac:dyDescent="0.2">
      <c r="A6101">
        <v>6040</v>
      </c>
      <c r="B6101" s="1832">
        <f>'Assets-Liab 5-6'!E9</f>
        <v>6203</v>
      </c>
      <c r="D6101" s="2" t="str">
        <f t="shared" si="94"/>
        <v>Error?</v>
      </c>
      <c r="E6101" s="2" t="s">
        <v>189</v>
      </c>
    </row>
    <row r="6102" spans="1:5" x14ac:dyDescent="0.2">
      <c r="A6102">
        <v>6041</v>
      </c>
      <c r="B6102" s="1832">
        <f>'Assets-Liab 5-6'!F9</f>
        <v>12270</v>
      </c>
      <c r="D6102" s="2" t="str">
        <f t="shared" si="94"/>
        <v>Error?</v>
      </c>
      <c r="E6102" s="2" t="s">
        <v>189</v>
      </c>
    </row>
    <row r="6103" spans="1:5" x14ac:dyDescent="0.2">
      <c r="A6103">
        <f>A6102+1</f>
        <v>6042</v>
      </c>
      <c r="B6103" s="1832">
        <f>'Assets-Liab 5-6'!G9</f>
        <v>6094</v>
      </c>
      <c r="D6103" s="2" t="str">
        <f t="shared" si="94"/>
        <v>Error?</v>
      </c>
      <c r="E6103" s="2" t="s">
        <v>189</v>
      </c>
    </row>
    <row r="6104" spans="1:5" x14ac:dyDescent="0.2">
      <c r="A6104">
        <v>6043</v>
      </c>
      <c r="B6104" s="1832">
        <f>'Assets-Liab 5-6'!H9</f>
        <v>32445</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323291</v>
      </c>
      <c r="D6113" s="2" t="str">
        <f t="shared" si="94"/>
        <v>Error?</v>
      </c>
      <c r="E6113" s="2" t="s">
        <v>189</v>
      </c>
    </row>
    <row r="6114" spans="1:5" x14ac:dyDescent="0.2">
      <c r="A6114">
        <v>6053</v>
      </c>
      <c r="B6114" s="1832">
        <f>'Assets-Liab 5-6'!D11</f>
        <v>9550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451509</v>
      </c>
      <c r="D6142" s="2" t="str">
        <f t="shared" si="94"/>
        <v>Error?</v>
      </c>
      <c r="E6142" s="2" t="s">
        <v>189</v>
      </c>
    </row>
    <row r="6143" spans="1:5" x14ac:dyDescent="0.2">
      <c r="A6143">
        <v>6082</v>
      </c>
      <c r="B6143" s="1832">
        <f>'Assets-Liab 5-6'!D27</f>
        <v>154504</v>
      </c>
      <c r="D6143" s="2" t="str">
        <f t="shared" ref="D6143:D6206" si="95">IF(ISBLANK(B6143),"OK",IF(A6143-B6143=0,"OK","Error?"))</f>
        <v>Error?</v>
      </c>
      <c r="E6143" s="2" t="s">
        <v>189</v>
      </c>
    </row>
    <row r="6144" spans="1:5" x14ac:dyDescent="0.2">
      <c r="A6144">
        <v>6083</v>
      </c>
      <c r="B6144" s="1832">
        <f>'Assets-Liab 5-6'!E27</f>
        <v>28600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113253</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534435</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3527331</v>
      </c>
      <c r="D6267" s="2" t="str">
        <f t="shared" si="96"/>
        <v>Error?</v>
      </c>
      <c r="E6267" s="2" t="s">
        <v>189</v>
      </c>
    </row>
    <row r="6268" spans="1:5" x14ac:dyDescent="0.2">
      <c r="A6268">
        <v>6207</v>
      </c>
      <c r="B6268" s="1832">
        <f>'Acct Summary 7-8'!D82</f>
        <v>-535650</v>
      </c>
      <c r="D6268" s="2" t="str">
        <f t="shared" si="96"/>
        <v>Error?</v>
      </c>
      <c r="E6268" s="2" t="s">
        <v>189</v>
      </c>
    </row>
    <row r="6269" spans="1:5" x14ac:dyDescent="0.2">
      <c r="A6269">
        <v>6208</v>
      </c>
      <c r="B6269" s="1832">
        <f>'Acct Summary 7-8'!E82</f>
        <v>780702</v>
      </c>
      <c r="D6269" s="2" t="str">
        <f t="shared" si="96"/>
        <v>Error?</v>
      </c>
      <c r="E6269" s="2" t="s">
        <v>189</v>
      </c>
    </row>
    <row r="6270" spans="1:5" x14ac:dyDescent="0.2">
      <c r="A6270">
        <v>6209</v>
      </c>
      <c r="B6270" s="1832">
        <f>'Acct Summary 7-8'!F82</f>
        <v>-415168</v>
      </c>
      <c r="D6270" s="2" t="str">
        <f t="shared" si="96"/>
        <v>Error?</v>
      </c>
      <c r="E6270" s="2" t="s">
        <v>189</v>
      </c>
    </row>
    <row r="6271" spans="1:5" x14ac:dyDescent="0.2">
      <c r="A6271">
        <v>6210</v>
      </c>
      <c r="B6271" s="1832">
        <f>'Acct Summary 7-8'!G82</f>
        <v>-183224</v>
      </c>
      <c r="D6271" s="2" t="str">
        <f t="shared" ref="D6271:D6334" si="97">IF(ISBLANK(B6271),"OK",IF(A6271-B6271=0,"OK","Error?"))</f>
        <v>Error?</v>
      </c>
      <c r="E6271" s="2" t="s">
        <v>189</v>
      </c>
    </row>
    <row r="6272" spans="1:5" x14ac:dyDescent="0.2">
      <c r="A6272">
        <v>6211</v>
      </c>
      <c r="B6272" s="1832">
        <f>'Acct Summary 7-8'!H82</f>
        <v>-1725175</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-1275267</v>
      </c>
      <c r="D6275" s="2" t="str">
        <f t="shared" si="97"/>
        <v>Error?</v>
      </c>
      <c r="E6275" s="2" t="s">
        <v>189</v>
      </c>
    </row>
    <row r="6276" spans="1:5" x14ac:dyDescent="0.2">
      <c r="A6276">
        <v>6215</v>
      </c>
      <c r="B6276" s="1832">
        <f>'Acct Summary 7-8'!C83</f>
        <v>0.21743281374006981</v>
      </c>
      <c r="D6276" s="2" t="str">
        <f t="shared" si="97"/>
        <v>Error?</v>
      </c>
      <c r="E6276" s="2" t="s">
        <v>189</v>
      </c>
    </row>
    <row r="6277" spans="1:5" x14ac:dyDescent="0.2">
      <c r="A6277">
        <v>6216</v>
      </c>
      <c r="B6277" s="1832">
        <f>'Acct Summary 7-8'!D83</f>
        <v>-0.36956799216224701</v>
      </c>
      <c r="D6277" s="2" t="str">
        <f t="shared" si="97"/>
        <v>Error?</v>
      </c>
      <c r="E6277" s="2" t="s">
        <v>189</v>
      </c>
    </row>
    <row r="6278" spans="1:5" x14ac:dyDescent="0.2">
      <c r="A6278">
        <v>6217</v>
      </c>
      <c r="B6278" s="1832">
        <f>'Acct Summary 7-8'!E83</f>
        <v>0.47014805380161334</v>
      </c>
      <c r="D6278" s="2" t="str">
        <f t="shared" si="97"/>
        <v>Error?</v>
      </c>
      <c r="E6278" s="2" t="s">
        <v>189</v>
      </c>
    </row>
    <row r="6279" spans="1:5" x14ac:dyDescent="0.2">
      <c r="A6279">
        <v>6218</v>
      </c>
      <c r="B6279" s="1832">
        <f>'Acct Summary 7-8'!F83</f>
        <v>-0.28058925582020899</v>
      </c>
      <c r="D6279" s="2" t="str">
        <f t="shared" si="97"/>
        <v>Error?</v>
      </c>
      <c r="E6279" s="2" t="s">
        <v>189</v>
      </c>
    </row>
    <row r="6280" spans="1:5" x14ac:dyDescent="0.2">
      <c r="A6280">
        <v>6219</v>
      </c>
      <c r="B6280" s="1832">
        <f>'Acct Summary 7-8'!G83</f>
        <v>-0.26447951129664593</v>
      </c>
      <c r="D6280" s="2" t="str">
        <f t="shared" si="97"/>
        <v>Error?</v>
      </c>
      <c r="E6280" s="2" t="s">
        <v>189</v>
      </c>
    </row>
    <row r="6281" spans="1:5" x14ac:dyDescent="0.2">
      <c r="A6281">
        <v>6220</v>
      </c>
      <c r="B6281" s="1832">
        <f>'Acct Summary 7-8'!H83</f>
        <v>-0.32013906543720994</v>
      </c>
      <c r="D6281" s="2" t="str">
        <f t="shared" si="97"/>
        <v>Error?</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1479023</v>
      </c>
      <c r="D6287" s="2" t="str">
        <f t="shared" si="97"/>
        <v>Error?</v>
      </c>
      <c r="E6287" s="2" t="s">
        <v>189</v>
      </c>
    </row>
    <row r="6288" spans="1:5" x14ac:dyDescent="0.2">
      <c r="A6288">
        <v>6227</v>
      </c>
      <c r="B6288" s="1832">
        <f>'Acct Summary 7-8'!E40</f>
        <v>35830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4319337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1479023</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35830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766734</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66807</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66807</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26130000</v>
      </c>
      <c r="D7817" s="2" t="str">
        <f t="shared" si="128"/>
        <v>Error?</v>
      </c>
      <c r="E7817" s="4" t="s">
        <v>1963</v>
      </c>
    </row>
    <row r="7818" spans="1:5" x14ac:dyDescent="0.2">
      <c r="A7818">
        <v>7757</v>
      </c>
      <c r="B7818" s="1832">
        <f>'PCTC-OEPP 27-28'!F172</f>
        <v>1141906</v>
      </c>
      <c r="D7818" s="2" t="str">
        <f t="shared" si="128"/>
        <v>Error?</v>
      </c>
      <c r="E7818" s="4" t="s">
        <v>1977</v>
      </c>
    </row>
    <row r="7819" spans="1:5" x14ac:dyDescent="0.2">
      <c r="A7819">
        <v>7758</v>
      </c>
      <c r="B7819" s="1832">
        <f>'PCTC-OEPP 27-28'!F173</f>
        <v>87.56</v>
      </c>
      <c r="D7819" s="2" t="str">
        <f t="shared" si="128"/>
        <v>Error?</v>
      </c>
      <c r="E7819" s="4" t="s">
        <v>1977</v>
      </c>
    </row>
    <row r="7820" spans="1:5" x14ac:dyDescent="0.2">
      <c r="A7820">
        <v>7759</v>
      </c>
      <c r="B7820" s="1832">
        <f>'ICR Computation 30'!E40</f>
        <v>-4032763</v>
      </c>
      <c r="D7820" s="2" t="str">
        <f t="shared" si="128"/>
        <v>Error?</v>
      </c>
    </row>
    <row r="7821" spans="1:5" x14ac:dyDescent="0.2">
      <c r="A7821">
        <v>7760</v>
      </c>
      <c r="B7821" s="1832">
        <f>'ICR Computation 30'!G40</f>
        <v>-4032763</v>
      </c>
      <c r="D7821" s="2" t="str">
        <f t="shared" si="128"/>
        <v>Error?</v>
      </c>
    </row>
    <row r="7822" spans="1:5" x14ac:dyDescent="0.2">
      <c r="A7822" s="1">
        <v>7761</v>
      </c>
      <c r="B7822" s="1832">
        <f>'PCTC-OEPP 27-28'!F14</f>
        <v>51652284</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94563</v>
      </c>
      <c r="D7830" s="2" t="str">
        <f t="shared" si="129"/>
        <v>Error?</v>
      </c>
      <c r="E7830" s="4" t="s">
        <v>1995</v>
      </c>
    </row>
    <row r="7831" spans="1:5" x14ac:dyDescent="0.2">
      <c r="A7831">
        <v>7770</v>
      </c>
      <c r="B7831" s="1832">
        <f>'PCTC-OEPP 27-28'!F52</f>
        <v>162002</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4276706</v>
      </c>
      <c r="D7834" s="2" t="str">
        <f t="shared" si="129"/>
        <v>Error?</v>
      </c>
      <c r="E7834" s="4" t="s">
        <v>1995</v>
      </c>
    </row>
    <row r="7835" spans="1:5" x14ac:dyDescent="0.2">
      <c r="A7835">
        <v>7774</v>
      </c>
      <c r="B7835" s="1832">
        <f>'PCTC-OEPP 27-28'!F78</f>
        <v>47375578</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16259.035623584321</v>
      </c>
      <c r="D7837" s="2" t="str">
        <f t="shared" si="129"/>
        <v>Error?</v>
      </c>
      <c r="E7837" s="4" t="s">
        <v>1995</v>
      </c>
    </row>
    <row r="7838" spans="1:5" x14ac:dyDescent="0.2">
      <c r="A7838">
        <v>7777</v>
      </c>
      <c r="B7838" s="1832">
        <f>'PCTC-OEPP 27-28'!F96</f>
        <v>58088</v>
      </c>
      <c r="D7838" s="2" t="str">
        <f t="shared" si="129"/>
        <v>Error?</v>
      </c>
      <c r="E7838" s="4" t="s">
        <v>1995</v>
      </c>
    </row>
    <row r="7839" spans="1:5" x14ac:dyDescent="0.2">
      <c r="A7839">
        <v>7778</v>
      </c>
      <c r="B7839" s="1832">
        <f>'PCTC-OEPP 27-28'!F102</f>
        <v>14641</v>
      </c>
      <c r="D7839" s="2" t="str">
        <f t="shared" si="129"/>
        <v>Error?</v>
      </c>
      <c r="E7839" s="4" t="s">
        <v>1995</v>
      </c>
    </row>
    <row r="7840" spans="1:5" x14ac:dyDescent="0.2">
      <c r="A7840">
        <v>7779</v>
      </c>
      <c r="B7840" s="1832">
        <f>'PCTC-OEPP 27-28'!F103</f>
        <v>6970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22774</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246984</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52125</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12847</v>
      </c>
      <c r="D7858" s="2" t="str">
        <f t="shared" si="129"/>
        <v>Error?</v>
      </c>
      <c r="E7858" s="4" t="s">
        <v>1995</v>
      </c>
    </row>
    <row r="7859" spans="1:5" x14ac:dyDescent="0.2">
      <c r="A7859">
        <v>7798</v>
      </c>
      <c r="B7859" s="1832">
        <f>'PCTC-OEPP 27-28'!F127</f>
        <v>59362</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615998</v>
      </c>
      <c r="D7861" s="2" t="str">
        <f t="shared" si="129"/>
        <v>Error?</v>
      </c>
      <c r="E7861" s="4" t="s">
        <v>1995</v>
      </c>
    </row>
    <row r="7862" spans="1:5" x14ac:dyDescent="0.2">
      <c r="A7862">
        <v>7801</v>
      </c>
      <c r="B7862" s="1832">
        <f>'PCTC-OEPP 27-28'!F130</f>
        <v>120168</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44522</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0</v>
      </c>
      <c r="D7874" s="2" t="str">
        <f t="shared" si="129"/>
        <v>Error?</v>
      </c>
      <c r="E7874" s="4" t="s">
        <v>1995</v>
      </c>
    </row>
    <row r="7875" spans="1:5" x14ac:dyDescent="0.2">
      <c r="A7875">
        <v>7814</v>
      </c>
      <c r="B7875" s="1832">
        <f>'PCTC-OEPP 27-28'!F170</f>
        <v>0</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2864319.56</v>
      </c>
      <c r="D7877" s="2" t="str">
        <f t="shared" si="129"/>
        <v>Error?</v>
      </c>
      <c r="E7877" s="4" t="s">
        <v>1995</v>
      </c>
    </row>
    <row r="7878" spans="1:5" x14ac:dyDescent="0.2">
      <c r="A7878">
        <v>7817</v>
      </c>
      <c r="B7878" s="1832">
        <f>'PCTC-OEPP 27-28'!F176</f>
        <v>44511258.439999998</v>
      </c>
      <c r="D7878" s="2" t="str">
        <f t="shared" si="129"/>
        <v>Error?</v>
      </c>
      <c r="E7878" s="4" t="s">
        <v>1995</v>
      </c>
    </row>
    <row r="7879" spans="1:5" x14ac:dyDescent="0.2">
      <c r="A7879">
        <v>7818</v>
      </c>
      <c r="B7879" s="1832">
        <f>'PCTC-OEPP 27-28'!F178</f>
        <v>48830595.439999998</v>
      </c>
      <c r="D7879" s="2" t="str">
        <f t="shared" si="129"/>
        <v>Error?</v>
      </c>
      <c r="E7879" s="4" t="s">
        <v>1995</v>
      </c>
    </row>
    <row r="7880" spans="1:5" x14ac:dyDescent="0.2">
      <c r="A7880">
        <v>7819</v>
      </c>
      <c r="B7880" s="1832">
        <f>'PCTC-OEPP 27-28'!F180</f>
        <v>16758.389539433039</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1824177</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4" t="s">
        <v>1181</v>
      </c>
      <c r="B2" s="2514"/>
      <c r="C2" s="2514"/>
      <c r="D2" s="2514"/>
      <c r="E2" s="2514"/>
      <c r="F2" s="2514"/>
      <c r="G2" s="2514"/>
      <c r="H2" s="2514"/>
      <c r="I2" s="2514"/>
      <c r="J2" s="2514"/>
      <c r="K2" s="2514"/>
      <c r="L2" s="2514"/>
    </row>
    <row r="3" spans="1:29" ht="13.5" customHeight="1" x14ac:dyDescent="0.2">
      <c r="A3" s="2546" t="s">
        <v>1180</v>
      </c>
      <c r="B3" s="2546"/>
      <c r="C3" s="2546"/>
      <c r="D3" s="2546"/>
      <c r="E3" s="2546"/>
      <c r="F3" s="2546"/>
      <c r="G3" s="2546"/>
      <c r="H3" s="2546"/>
      <c r="I3" s="2546"/>
      <c r="J3" s="2546"/>
      <c r="K3" s="2546"/>
      <c r="L3" s="2546"/>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7" t="str">
        <f>COVER!A17</f>
        <v xml:space="preserve">   Deerfield SD 109</v>
      </c>
      <c r="B7" s="2538"/>
      <c r="C7" s="2538"/>
      <c r="D7" s="2539"/>
      <c r="E7" s="2540">
        <f>COVER!A13</f>
        <v>34049109002</v>
      </c>
      <c r="F7" s="2541"/>
      <c r="G7" s="2547" t="str">
        <f>COVER!T23</f>
        <v>066-003289</v>
      </c>
      <c r="H7" s="2548"/>
      <c r="I7" s="2548"/>
      <c r="J7" s="2548"/>
      <c r="K7" s="2548"/>
      <c r="L7" s="254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0"/>
      <c r="B9" s="2551"/>
      <c r="C9" s="2551"/>
      <c r="D9" s="2551"/>
      <c r="E9" s="2551"/>
      <c r="F9" s="2552"/>
      <c r="G9" s="2520" t="str">
        <f>COVER!T13</f>
        <v>Evoy, Kamschulte, Jacobs &amp; Co. LLP</v>
      </c>
      <c r="H9" s="2553"/>
      <c r="I9" s="2553"/>
      <c r="J9" s="2553"/>
      <c r="K9" s="2553"/>
      <c r="L9" s="2554"/>
    </row>
    <row r="10" spans="1:29" ht="13.5" customHeight="1" x14ac:dyDescent="0.2">
      <c r="A10" s="2526">
        <f>COVER!A38</f>
        <v>0</v>
      </c>
      <c r="B10" s="2527"/>
      <c r="C10" s="2527"/>
      <c r="D10" s="2527"/>
      <c r="E10" s="2527"/>
      <c r="F10" s="2528"/>
      <c r="G10" s="2520" t="str">
        <f>COVER!T17</f>
        <v>2122 Yeoman Street</v>
      </c>
      <c r="H10" s="2521"/>
      <c r="I10" s="2521"/>
      <c r="J10" s="2521"/>
      <c r="K10" s="2521"/>
      <c r="L10" s="2522"/>
    </row>
    <row r="11" spans="1:29" ht="13.5" customHeight="1" x14ac:dyDescent="0.2">
      <c r="A11" s="963" t="s">
        <v>1502</v>
      </c>
      <c r="B11" s="964"/>
      <c r="C11" s="965"/>
      <c r="D11" s="970"/>
      <c r="E11" s="965"/>
      <c r="F11" s="969"/>
      <c r="G11" s="2520" t="str">
        <f>COVER!T19</f>
        <v>Waukegan</v>
      </c>
      <c r="H11" s="2521"/>
      <c r="I11" s="2521"/>
      <c r="J11" s="2521"/>
      <c r="K11" s="2521"/>
      <c r="L11" s="2522"/>
    </row>
    <row r="12" spans="1:29" ht="13.5" customHeight="1" x14ac:dyDescent="0.2">
      <c r="A12" s="2529" t="s">
        <v>1501</v>
      </c>
      <c r="B12" s="2530"/>
      <c r="C12" s="2530"/>
      <c r="D12" s="2530"/>
      <c r="E12" s="2530"/>
      <c r="F12" s="2531"/>
      <c r="G12" s="2523"/>
      <c r="H12" s="2524"/>
      <c r="I12" s="2524"/>
      <c r="J12" s="2524"/>
      <c r="K12" s="2524"/>
      <c r="L12" s="2525"/>
    </row>
    <row r="13" spans="1:29" ht="13.5" customHeight="1" x14ac:dyDescent="0.2">
      <c r="A13" s="2520"/>
      <c r="B13" s="2521"/>
      <c r="C13" s="2521"/>
      <c r="D13" s="2521"/>
      <c r="E13" s="2521"/>
      <c r="F13" s="2522"/>
      <c r="G13" s="2515" t="s">
        <v>1503</v>
      </c>
      <c r="H13" s="2516"/>
      <c r="I13" s="2532" t="str">
        <f>COVER!T25</f>
        <v>jaceto@ekjllp.com</v>
      </c>
      <c r="J13" s="2533"/>
      <c r="K13" s="2533"/>
      <c r="L13" s="2534"/>
    </row>
    <row r="14" spans="1:29" ht="13.5" customHeight="1" x14ac:dyDescent="0.2">
      <c r="A14" s="2520" t="str">
        <f>COVER!A19</f>
        <v>517 Deerfield Road</v>
      </c>
      <c r="B14" s="2521"/>
      <c r="C14" s="2521"/>
      <c r="D14" s="2521"/>
      <c r="E14" s="2521"/>
      <c r="F14" s="2522"/>
      <c r="G14" s="974" t="s">
        <v>1175</v>
      </c>
      <c r="H14" s="972"/>
      <c r="I14" s="972"/>
      <c r="J14" s="972"/>
      <c r="K14" s="972"/>
      <c r="L14" s="973"/>
    </row>
    <row r="15" spans="1:29" ht="13.5" customHeight="1" x14ac:dyDescent="0.2">
      <c r="A15" s="2520" t="str">
        <f>COVER!A21</f>
        <v xml:space="preserve">Deerfield  </v>
      </c>
      <c r="B15" s="2521"/>
      <c r="C15" s="2521"/>
      <c r="D15" s="2521"/>
      <c r="E15" s="2521"/>
      <c r="F15" s="2522"/>
      <c r="G15" s="2517" t="str">
        <f>COVER!T15</f>
        <v>John D. Aceto, Jr., CPA</v>
      </c>
      <c r="H15" s="2518"/>
      <c r="I15" s="2518"/>
      <c r="J15" s="2518"/>
      <c r="K15" s="2518"/>
      <c r="L15" s="2519"/>
    </row>
    <row r="16" spans="1:29" ht="12.2" customHeight="1" x14ac:dyDescent="0.2">
      <c r="A16" s="2543">
        <f>COVER!A25</f>
        <v>60015</v>
      </c>
      <c r="B16" s="2544"/>
      <c r="C16" s="2544"/>
      <c r="D16" s="2544"/>
      <c r="E16" s="2544"/>
      <c r="F16" s="2545"/>
      <c r="G16" s="2555"/>
      <c r="H16" s="2556"/>
      <c r="I16" s="2556"/>
      <c r="J16" s="2556"/>
      <c r="K16" s="2556"/>
      <c r="L16" s="2557"/>
    </row>
    <row r="17" spans="1:13" ht="12.2" customHeight="1" x14ac:dyDescent="0.2">
      <c r="A17" s="2558"/>
      <c r="B17" s="2544"/>
      <c r="C17" s="2544"/>
      <c r="D17" s="2544"/>
      <c r="E17" s="2544"/>
      <c r="F17" s="2545"/>
      <c r="G17" s="974" t="s">
        <v>1174</v>
      </c>
      <c r="H17" s="972"/>
      <c r="I17" s="972"/>
      <c r="J17" s="972"/>
      <c r="K17" s="976" t="s">
        <v>1173</v>
      </c>
      <c r="L17" s="969"/>
      <c r="M17" s="962"/>
    </row>
    <row r="18" spans="1:13" ht="12.2" customHeight="1" x14ac:dyDescent="0.2">
      <c r="A18" s="2526"/>
      <c r="B18" s="2527"/>
      <c r="C18" s="2527"/>
      <c r="D18" s="2527"/>
      <c r="E18" s="2527"/>
      <c r="F18" s="2528"/>
      <c r="G18" s="2537" t="str">
        <f>COVER!T21</f>
        <v>847-662-8300</v>
      </c>
      <c r="H18" s="2538"/>
      <c r="I18" s="2538"/>
      <c r="J18" s="2538"/>
      <c r="K18" s="2537" t="str">
        <f>COVER!X21</f>
        <v>847-662-8305</v>
      </c>
      <c r="L18" s="254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Deerfield SD 109</v>
      </c>
      <c r="B1" s="2560"/>
      <c r="C1" s="2560"/>
      <c r="D1" s="2560"/>
    </row>
    <row r="2" spans="1:11" s="991" customFormat="1" ht="12.75" x14ac:dyDescent="0.2">
      <c r="A2" s="2561">
        <f>'Single Audit Cover'!E7</f>
        <v>34049109002</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Deerfield SD 109</v>
      </c>
      <c r="B1" s="2564"/>
      <c r="C1" s="2564"/>
      <c r="D1" s="2564"/>
      <c r="E1" s="2564"/>
    </row>
    <row r="2" spans="1:5" x14ac:dyDescent="0.2">
      <c r="A2" s="2565">
        <f>'Single Audit Cover'!E7</f>
        <v>34049109002</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883855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0</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0</v>
      </c>
    </row>
    <row r="19" spans="1:4" ht="13.5" thickBot="1" x14ac:dyDescent="0.25">
      <c r="A19" s="1041" t="s">
        <v>1224</v>
      </c>
      <c r="D19" s="1042">
        <f>SUM(D10:D17)</f>
        <v>883855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883855</v>
      </c>
    </row>
    <row r="33" spans="1:4" x14ac:dyDescent="0.2">
      <c r="D33" s="1045"/>
    </row>
    <row r="34" spans="1:4" x14ac:dyDescent="0.2">
      <c r="A34" s="295" t="s">
        <v>1221</v>
      </c>
    </row>
    <row r="35" spans="1:4" x14ac:dyDescent="0.2">
      <c r="A35" s="295" t="s">
        <v>1220</v>
      </c>
      <c r="B35" s="1034" t="s">
        <v>1219</v>
      </c>
      <c r="D35" s="1046">
        <v>883855</v>
      </c>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883855</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26" sqref="B2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Deerfield SD 109</v>
      </c>
      <c r="C1" s="2568"/>
      <c r="D1" s="2568"/>
      <c r="E1" s="2568"/>
      <c r="F1" s="2568"/>
      <c r="G1" s="2568"/>
      <c r="H1" s="2568"/>
      <c r="I1" s="2568"/>
      <c r="J1" s="2568"/>
      <c r="K1" s="2568"/>
      <c r="L1" s="2568"/>
      <c r="M1" s="2568"/>
    </row>
    <row r="2" spans="2:14" ht="15" x14ac:dyDescent="0.2">
      <c r="B2" s="2569">
        <f>'Single Audit Cover'!E7</f>
        <v>34049109002</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2086</v>
      </c>
      <c r="C11" s="1821"/>
      <c r="D11" s="1822"/>
      <c r="E11" s="1823"/>
      <c r="F11" s="1823"/>
      <c r="G11" s="1823"/>
      <c r="H11" s="1823"/>
      <c r="I11" s="1823"/>
      <c r="J11" s="1823"/>
      <c r="K11" s="1823"/>
      <c r="L11" s="1823">
        <f>+G11+I11+K11</f>
        <v>0</v>
      </c>
      <c r="M11" s="1823"/>
    </row>
    <row r="12" spans="2:14" ht="20.100000000000001" customHeight="1" x14ac:dyDescent="0.2">
      <c r="B12" s="1113" t="s">
        <v>2123</v>
      </c>
      <c r="C12" s="1824"/>
      <c r="D12" s="1825"/>
      <c r="E12" s="1826"/>
      <c r="F12" s="1826"/>
      <c r="G12" s="1826"/>
      <c r="H12" s="1826"/>
      <c r="I12" s="1826"/>
      <c r="J12" s="1826"/>
      <c r="K12" s="1826"/>
      <c r="L12" s="1823">
        <f t="shared" ref="L12:L27" si="0">+G12+I12+K12</f>
        <v>0</v>
      </c>
      <c r="M12" s="1826"/>
    </row>
    <row r="13" spans="2:14" ht="20.100000000000001" customHeight="1" x14ac:dyDescent="0.2">
      <c r="B13" s="1113" t="s">
        <v>2088</v>
      </c>
      <c r="C13" s="1824">
        <v>10.555999999999999</v>
      </c>
      <c r="D13" s="1825" t="s">
        <v>2089</v>
      </c>
      <c r="E13" s="1826"/>
      <c r="F13" s="1826">
        <v>12847</v>
      </c>
      <c r="G13" s="1826"/>
      <c r="H13" s="1826"/>
      <c r="I13" s="1826">
        <v>12847</v>
      </c>
      <c r="J13" s="1826"/>
      <c r="K13" s="1826"/>
      <c r="L13" s="1823">
        <f t="shared" si="0"/>
        <v>12847</v>
      </c>
      <c r="M13" s="1826" t="s">
        <v>2090</v>
      </c>
    </row>
    <row r="14" spans="2:14" ht="20.100000000000001" customHeight="1" x14ac:dyDescent="0.2">
      <c r="B14" s="1113" t="s">
        <v>2124</v>
      </c>
      <c r="C14" s="1824"/>
      <c r="D14" s="1825"/>
      <c r="E14" s="1826"/>
      <c r="F14" s="1826">
        <v>12847</v>
      </c>
      <c r="G14" s="1826"/>
      <c r="H14" s="1826"/>
      <c r="I14" s="1826">
        <v>12847</v>
      </c>
      <c r="J14" s="1826"/>
      <c r="K14" s="1826"/>
      <c r="L14" s="1823">
        <f t="shared" si="0"/>
        <v>12847</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t="s">
        <v>2091</v>
      </c>
      <c r="C16" s="1824"/>
      <c r="D16" s="1825"/>
      <c r="E16" s="1826"/>
      <c r="F16" s="1826"/>
      <c r="G16" s="1826"/>
      <c r="H16" s="1826"/>
      <c r="I16" s="1826"/>
      <c r="J16" s="1826"/>
      <c r="K16" s="1826"/>
      <c r="L16" s="1823">
        <f t="shared" si="0"/>
        <v>0</v>
      </c>
      <c r="M16" s="1826"/>
    </row>
    <row r="17" spans="2:14" ht="20.100000000000001" customHeight="1" x14ac:dyDescent="0.2">
      <c r="B17" s="1113" t="s">
        <v>2125</v>
      </c>
      <c r="C17" s="1824"/>
      <c r="D17" s="1825"/>
      <c r="E17" s="1826"/>
      <c r="F17" s="1826"/>
      <c r="G17" s="1826"/>
      <c r="H17" s="1826"/>
      <c r="I17" s="1826"/>
      <c r="J17" s="1826"/>
      <c r="K17" s="1826"/>
      <c r="L17" s="1823">
        <f t="shared" si="0"/>
        <v>0</v>
      </c>
      <c r="M17" s="1826"/>
    </row>
    <row r="18" spans="2:14" ht="20.100000000000001" customHeight="1" x14ac:dyDescent="0.2">
      <c r="B18" s="1113" t="s">
        <v>2092</v>
      </c>
      <c r="C18" s="1824" t="s">
        <v>2093</v>
      </c>
      <c r="D18" s="1825" t="s">
        <v>2094</v>
      </c>
      <c r="E18" s="1826"/>
      <c r="F18" s="1826">
        <v>30958</v>
      </c>
      <c r="G18" s="1826"/>
      <c r="H18" s="1826"/>
      <c r="I18" s="1826">
        <v>30958</v>
      </c>
      <c r="J18" s="1826"/>
      <c r="K18" s="1826"/>
      <c r="L18" s="1823">
        <f t="shared" si="0"/>
        <v>30958</v>
      </c>
      <c r="M18" s="1826">
        <v>34403</v>
      </c>
    </row>
    <row r="19" spans="2:14" ht="20.100000000000001" customHeight="1" x14ac:dyDescent="0.2">
      <c r="B19" s="1113" t="s">
        <v>2095</v>
      </c>
      <c r="C19" s="1824" t="s">
        <v>2096</v>
      </c>
      <c r="D19" s="1825" t="s">
        <v>2097</v>
      </c>
      <c r="E19" s="1826"/>
      <c r="F19" s="1826">
        <v>615998</v>
      </c>
      <c r="G19" s="1826"/>
      <c r="H19" s="1826"/>
      <c r="I19" s="1826">
        <v>615998</v>
      </c>
      <c r="J19" s="1826"/>
      <c r="K19" s="1826"/>
      <c r="L19" s="1823">
        <f t="shared" si="0"/>
        <v>615998</v>
      </c>
      <c r="M19" s="1826">
        <v>658632</v>
      </c>
    </row>
    <row r="20" spans="2:14" ht="20.100000000000001" customHeight="1" x14ac:dyDescent="0.2">
      <c r="B20" s="1113" t="s">
        <v>2126</v>
      </c>
      <c r="C20" s="1824"/>
      <c r="D20" s="1825"/>
      <c r="E20" s="1826"/>
      <c r="F20" s="1826">
        <v>646956</v>
      </c>
      <c r="G20" s="1826"/>
      <c r="H20" s="1826"/>
      <c r="I20" s="1826">
        <v>646956</v>
      </c>
      <c r="J20" s="1826"/>
      <c r="K20" s="1826"/>
      <c r="L20" s="1823">
        <f t="shared" si="0"/>
        <v>646956</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t="s">
        <v>2087</v>
      </c>
      <c r="C22" s="1824"/>
      <c r="D22" s="1825"/>
      <c r="E22" s="1826"/>
      <c r="F22" s="1826"/>
      <c r="G22" s="1826"/>
      <c r="H22" s="1826"/>
      <c r="I22" s="1826"/>
      <c r="J22" s="1826"/>
      <c r="K22" s="1826"/>
      <c r="L22" s="1823">
        <f t="shared" si="0"/>
        <v>0</v>
      </c>
      <c r="M22" s="1826"/>
    </row>
    <row r="23" spans="2:14" ht="20.100000000000001" customHeight="1" x14ac:dyDescent="0.2">
      <c r="B23" s="1113" t="s">
        <v>2128</v>
      </c>
      <c r="C23" s="1824" t="s">
        <v>2096</v>
      </c>
      <c r="D23" s="1825" t="s">
        <v>2099</v>
      </c>
      <c r="E23" s="1826"/>
      <c r="F23" s="1826">
        <v>16698</v>
      </c>
      <c r="G23" s="1826">
        <v>16698</v>
      </c>
      <c r="H23" s="1826"/>
      <c r="I23" s="1826"/>
      <c r="J23" s="1826"/>
      <c r="K23" s="1826"/>
      <c r="L23" s="1823">
        <f t="shared" si="0"/>
        <v>16698</v>
      </c>
      <c r="M23" s="1826" t="s">
        <v>2090</v>
      </c>
    </row>
    <row r="24" spans="2:14" ht="20.100000000000001" customHeight="1" x14ac:dyDescent="0.2">
      <c r="B24" s="1113" t="s">
        <v>2128</v>
      </c>
      <c r="C24" s="1824" t="s">
        <v>2096</v>
      </c>
      <c r="D24" s="1825" t="s">
        <v>2098</v>
      </c>
      <c r="E24" s="1826"/>
      <c r="F24" s="1826">
        <v>103470</v>
      </c>
      <c r="G24" s="1826"/>
      <c r="H24" s="1826"/>
      <c r="I24" s="1826">
        <v>114967</v>
      </c>
      <c r="J24" s="1826"/>
      <c r="K24" s="1826"/>
      <c r="L24" s="1823">
        <f t="shared" si="0"/>
        <v>114967</v>
      </c>
      <c r="M24" s="1826" t="s">
        <v>2090</v>
      </c>
    </row>
    <row r="25" spans="2:14" ht="20.100000000000001" customHeight="1" x14ac:dyDescent="0.2">
      <c r="B25" s="1113" t="s">
        <v>2127</v>
      </c>
      <c r="C25" s="1824"/>
      <c r="D25" s="1825"/>
      <c r="E25" s="1826"/>
      <c r="F25" s="1826">
        <v>120168</v>
      </c>
      <c r="G25" s="1826">
        <v>16698</v>
      </c>
      <c r="H25" s="1826"/>
      <c r="I25" s="1826">
        <v>114967</v>
      </c>
      <c r="J25" s="1826"/>
      <c r="K25" s="1826"/>
      <c r="L25" s="1823">
        <f t="shared" si="0"/>
        <v>131665</v>
      </c>
      <c r="M25" s="1826"/>
    </row>
    <row r="26" spans="2:14" ht="20.100000000000001" customHeight="1" x14ac:dyDescent="0.2">
      <c r="B26" s="1113" t="s">
        <v>2141</v>
      </c>
      <c r="C26" s="1824"/>
      <c r="D26" s="1825"/>
      <c r="E26" s="1826"/>
      <c r="F26" s="1826">
        <v>767124</v>
      </c>
      <c r="G26" s="1826">
        <v>16698</v>
      </c>
      <c r="H26" s="1826"/>
      <c r="I26" s="1826">
        <v>761923</v>
      </c>
      <c r="J26" s="1826"/>
      <c r="K26" s="1826"/>
      <c r="L26" s="1823">
        <f t="shared" si="0"/>
        <v>778621</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O34" sqref="O3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Deerfield SD 109</v>
      </c>
      <c r="C1" s="2568"/>
      <c r="D1" s="2568"/>
      <c r="E1" s="2568"/>
      <c r="F1" s="2568"/>
      <c r="G1" s="2568"/>
      <c r="H1" s="2568"/>
      <c r="I1" s="2568"/>
      <c r="J1" s="2568"/>
      <c r="K1" s="2568"/>
      <c r="L1" s="2568"/>
      <c r="M1" s="2568"/>
    </row>
    <row r="2" spans="2:14" ht="15" x14ac:dyDescent="0.2">
      <c r="B2" s="2569">
        <f>'Single Audit Cover'!E7</f>
        <v>34049109002</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2101</v>
      </c>
      <c r="C11" s="1821"/>
      <c r="D11" s="1822"/>
      <c r="E11" s="1823"/>
      <c r="F11" s="1823"/>
      <c r="G11" s="1823"/>
      <c r="H11" s="1823"/>
      <c r="I11" s="1823"/>
      <c r="J11" s="1823"/>
      <c r="K11" s="1823"/>
      <c r="L11" s="1823">
        <f>+G11+I11+K11</f>
        <v>0</v>
      </c>
      <c r="M11" s="1823"/>
    </row>
    <row r="12" spans="2:14" ht="20.100000000000001" customHeight="1" x14ac:dyDescent="0.2">
      <c r="B12" s="1113" t="s">
        <v>2102</v>
      </c>
      <c r="C12" s="1824"/>
      <c r="D12" s="1825"/>
      <c r="E12" s="1826"/>
      <c r="F12" s="1826"/>
      <c r="G12" s="1826"/>
      <c r="H12" s="1826"/>
      <c r="I12" s="1826"/>
      <c r="J12" s="1826"/>
      <c r="K12" s="1826"/>
      <c r="L12" s="1823">
        <f t="shared" ref="L12:L27" si="0">+G12+I12+K12</f>
        <v>0</v>
      </c>
      <c r="M12" s="1826"/>
    </row>
    <row r="13" spans="2:14" ht="20.100000000000001" customHeight="1" x14ac:dyDescent="0.2">
      <c r="B13" s="1113" t="s">
        <v>2103</v>
      </c>
      <c r="C13" s="1824" t="s">
        <v>2104</v>
      </c>
      <c r="D13" s="1825" t="s">
        <v>2105</v>
      </c>
      <c r="E13" s="1826"/>
      <c r="F13" s="1826">
        <v>59362</v>
      </c>
      <c r="G13" s="1826"/>
      <c r="H13" s="1826"/>
      <c r="I13" s="1826">
        <v>59362</v>
      </c>
      <c r="J13" s="1826"/>
      <c r="K13" s="1826"/>
      <c r="L13" s="1823">
        <f t="shared" si="0"/>
        <v>59362</v>
      </c>
      <c r="M13" s="1826">
        <v>67837</v>
      </c>
    </row>
    <row r="14" spans="2:14" ht="20.100000000000001" customHeight="1" x14ac:dyDescent="0.2">
      <c r="B14" s="1113" t="s">
        <v>2106</v>
      </c>
      <c r="C14" s="1824" t="s">
        <v>2107</v>
      </c>
      <c r="D14" s="1825" t="s">
        <v>2108</v>
      </c>
      <c r="E14" s="1826"/>
      <c r="F14" s="1826">
        <v>44522</v>
      </c>
      <c r="G14" s="1826"/>
      <c r="H14" s="1826"/>
      <c r="I14" s="1826">
        <v>44522</v>
      </c>
      <c r="J14" s="1826"/>
      <c r="K14" s="1826"/>
      <c r="L14" s="1823">
        <f t="shared" si="0"/>
        <v>44522</v>
      </c>
      <c r="M14" s="1826">
        <v>46555</v>
      </c>
    </row>
    <row r="15" spans="2:14" ht="20.100000000000001" customHeight="1" x14ac:dyDescent="0.2">
      <c r="B15" s="1113" t="s">
        <v>2142</v>
      </c>
      <c r="C15" s="1824" t="s">
        <v>2143</v>
      </c>
      <c r="D15" s="1825" t="s">
        <v>2144</v>
      </c>
      <c r="E15" s="1826"/>
      <c r="F15" s="1826"/>
      <c r="G15" s="1826"/>
      <c r="H15" s="1826"/>
      <c r="I15" s="1826">
        <v>55866</v>
      </c>
      <c r="J15" s="1826"/>
      <c r="K15" s="1826"/>
      <c r="L15" s="1823">
        <f t="shared" si="0"/>
        <v>55866</v>
      </c>
      <c r="M15" s="1826">
        <v>55866</v>
      </c>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t="s">
        <v>2100</v>
      </c>
      <c r="C17" s="1824"/>
      <c r="D17" s="1825"/>
      <c r="E17" s="1826"/>
      <c r="F17" s="1826">
        <v>224052</v>
      </c>
      <c r="G17" s="1826"/>
      <c r="H17" s="1826"/>
      <c r="I17" s="1826">
        <v>274717</v>
      </c>
      <c r="J17" s="1826"/>
      <c r="K17" s="1826"/>
      <c r="L17" s="1823">
        <f t="shared" si="0"/>
        <v>274717</v>
      </c>
      <c r="M17" s="1826"/>
    </row>
    <row r="18" spans="2:14" ht="20.100000000000001" customHeight="1" x14ac:dyDescent="0.2">
      <c r="B18" s="1113" t="s">
        <v>2109</v>
      </c>
      <c r="C18" s="1824"/>
      <c r="D18" s="1825"/>
      <c r="E18" s="1826"/>
      <c r="F18" s="1826">
        <v>871008</v>
      </c>
      <c r="G18" s="1826"/>
      <c r="H18" s="1826"/>
      <c r="I18" s="1826">
        <v>921673</v>
      </c>
      <c r="J18" s="1826"/>
      <c r="K18" s="1826"/>
      <c r="L18" s="1823">
        <f t="shared" si="0"/>
        <v>921673</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t="s">
        <v>2110</v>
      </c>
      <c r="C20" s="1824"/>
      <c r="D20" s="1825"/>
      <c r="E20" s="1826"/>
      <c r="F20" s="1826">
        <v>883855</v>
      </c>
      <c r="G20" s="1826"/>
      <c r="H20" s="1826"/>
      <c r="I20" s="1826">
        <v>934520</v>
      </c>
      <c r="J20" s="1826"/>
      <c r="K20" s="1826"/>
      <c r="L20" s="1823">
        <f t="shared" si="0"/>
        <v>934520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2114</v>
      </c>
      <c r="C23" s="1824">
        <v>10.555</v>
      </c>
      <c r="D23" s="1825" t="s">
        <v>2115</v>
      </c>
      <c r="E23" s="1826">
        <v>0</v>
      </c>
      <c r="F23" s="1826">
        <v>0</v>
      </c>
      <c r="G23" s="1826">
        <v>0</v>
      </c>
      <c r="H23" s="1826"/>
      <c r="I23" s="1826">
        <v>0</v>
      </c>
      <c r="J23" s="1826"/>
      <c r="K23" s="1826">
        <v>0</v>
      </c>
      <c r="L23" s="1823">
        <f t="shared" si="0"/>
        <v>0</v>
      </c>
      <c r="M23" s="1826"/>
    </row>
    <row r="24" spans="2:14" ht="20.100000000000001" customHeight="1" x14ac:dyDescent="0.2">
      <c r="B24" s="1113" t="s">
        <v>2112</v>
      </c>
      <c r="C24" s="1824" t="s">
        <v>2090</v>
      </c>
      <c r="D24" s="1825" t="s">
        <v>2090</v>
      </c>
      <c r="E24" s="1826">
        <v>0</v>
      </c>
      <c r="F24" s="1826">
        <v>0</v>
      </c>
      <c r="G24" s="1826">
        <v>0</v>
      </c>
      <c r="H24" s="1826"/>
      <c r="I24" s="1826">
        <v>0</v>
      </c>
      <c r="J24" s="1826"/>
      <c r="K24" s="1826">
        <v>0</v>
      </c>
      <c r="L24" s="1823">
        <f t="shared" si="0"/>
        <v>0</v>
      </c>
      <c r="M24" s="1826"/>
    </row>
    <row r="25" spans="2:14" ht="20.100000000000001" customHeight="1" x14ac:dyDescent="0.2">
      <c r="B25" s="1113" t="s">
        <v>2113</v>
      </c>
      <c r="C25" s="1824" t="s">
        <v>2090</v>
      </c>
      <c r="D25" s="1825" t="s">
        <v>2090</v>
      </c>
      <c r="E25" s="1826">
        <v>0</v>
      </c>
      <c r="F25" s="1826">
        <v>0</v>
      </c>
      <c r="G25" s="1826">
        <v>0</v>
      </c>
      <c r="H25" s="1826"/>
      <c r="I25" s="1826">
        <v>0</v>
      </c>
      <c r="J25" s="1826"/>
      <c r="K25" s="1826">
        <v>0</v>
      </c>
      <c r="L25" s="1823">
        <f t="shared" si="0"/>
        <v>0</v>
      </c>
      <c r="M25" s="1826"/>
    </row>
    <row r="26" spans="2:14" ht="20.100000000000001" customHeight="1" x14ac:dyDescent="0.2">
      <c r="B26" s="1113" t="s">
        <v>2111</v>
      </c>
      <c r="C26" s="1824" t="s">
        <v>2090</v>
      </c>
      <c r="D26" s="1825" t="s">
        <v>2090</v>
      </c>
      <c r="E26" s="1826">
        <v>0</v>
      </c>
      <c r="F26" s="1826">
        <v>0</v>
      </c>
      <c r="G26" s="1826">
        <v>0</v>
      </c>
      <c r="H26" s="1826"/>
      <c r="I26" s="1826">
        <v>0</v>
      </c>
      <c r="J26" s="1826"/>
      <c r="K26" s="1826">
        <v>0</v>
      </c>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4" colorId="8" zoomScaleNormal="100" workbookViewId="0">
      <selection activeCell="J78" sqref="J7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2048</v>
      </c>
      <c r="C53" s="174">
        <v>22</v>
      </c>
      <c r="D53" s="242" t="s">
        <v>1445</v>
      </c>
      <c r="E53" s="243"/>
      <c r="F53" s="244"/>
      <c r="G53" s="244" t="s">
        <v>1444</v>
      </c>
      <c r="H53" s="245">
        <v>38718</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1986</v>
      </c>
      <c r="B85" s="2186"/>
      <c r="C85" s="2186"/>
      <c r="D85" s="2187"/>
      <c r="E85" s="1544">
        <v>5673</v>
      </c>
      <c r="F85" s="1544"/>
      <c r="G85" s="1544">
        <v>4984</v>
      </c>
      <c r="H85" s="1544">
        <v>56150</v>
      </c>
      <c r="I85" s="1904"/>
      <c r="J85" s="1727">
        <f>SUM(E85:I85)</f>
        <v>66807</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1986</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66807</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2054</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19" zoomScale="120" zoomScaleNormal="120" workbookViewId="0">
      <selection activeCell="J43" sqref="J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 xml:space="preserve">   Deerfield SD 109</v>
      </c>
      <c r="B1" s="2581"/>
      <c r="C1" s="2581"/>
      <c r="D1" s="2581"/>
      <c r="E1" s="2581"/>
      <c r="F1" s="2581"/>
    </row>
    <row r="2" spans="1:7" ht="13.5" customHeight="1" x14ac:dyDescent="0.2">
      <c r="A2" s="2569">
        <f>'Single Audit Cover'!E7</f>
        <v>34049109002</v>
      </c>
      <c r="B2" s="2569"/>
      <c r="C2" s="2569"/>
      <c r="D2" s="2569"/>
      <c r="E2" s="2569"/>
      <c r="F2" s="2569"/>
      <c r="G2" s="1051"/>
    </row>
    <row r="3" spans="1:7" ht="15.75" customHeight="1" x14ac:dyDescent="0.2">
      <c r="A3" s="2582" t="s">
        <v>1260</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52" t="s">
        <v>1705</v>
      </c>
      <c r="C6" s="295"/>
      <c r="D6" s="295"/>
    </row>
    <row r="7" spans="1:7" ht="60.95" customHeight="1" x14ac:dyDescent="0.2">
      <c r="A7" s="2580" t="s">
        <v>2116</v>
      </c>
      <c r="B7" s="2580"/>
      <c r="C7" s="2580"/>
      <c r="D7" s="2580"/>
      <c r="E7" s="2580"/>
      <c r="F7" s="2580"/>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0" t="s">
        <v>2117</v>
      </c>
      <c r="B13" s="2580"/>
      <c r="C13" s="2580"/>
      <c r="D13" s="2580"/>
      <c r="E13" s="2580"/>
      <c r="F13" s="2580"/>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t="s">
        <v>2118</v>
      </c>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4" t="s">
        <v>2145</v>
      </c>
      <c r="B32" s="2574"/>
      <c r="C32" s="2574"/>
      <c r="D32" s="2574"/>
      <c r="E32" s="2574"/>
      <c r="F32" s="2574"/>
    </row>
    <row r="33" spans="1:6" ht="13.5" customHeight="1" x14ac:dyDescent="0.2">
      <c r="A33" s="306" t="s">
        <v>1417</v>
      </c>
      <c r="B33" s="306"/>
      <c r="C33" s="1064">
        <v>0</v>
      </c>
      <c r="D33" s="1526"/>
      <c r="E33" s="1062"/>
    </row>
    <row r="34" spans="1:6" ht="13.5" customHeight="1" x14ac:dyDescent="0.2">
      <c r="A34" s="306" t="s">
        <v>1808</v>
      </c>
      <c r="B34" s="306"/>
      <c r="C34" s="1065">
        <v>0</v>
      </c>
      <c r="D34" s="1526" t="s">
        <v>1572</v>
      </c>
      <c r="E34" s="2575">
        <f>+C33+C34</f>
        <v>0</v>
      </c>
      <c r="F34" s="257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380</v>
      </c>
      <c r="D38" s="1526"/>
      <c r="E38" s="1062"/>
    </row>
    <row r="39" spans="1:6" ht="14.25" customHeight="1" x14ac:dyDescent="0.2">
      <c r="A39" s="306"/>
      <c r="B39" s="306" t="s">
        <v>1419</v>
      </c>
      <c r="C39" s="1068" t="s">
        <v>380</v>
      </c>
      <c r="D39" s="1526"/>
      <c r="E39" s="1062"/>
    </row>
    <row r="40" spans="1:6" ht="14.25" customHeight="1" x14ac:dyDescent="0.2">
      <c r="A40" s="306"/>
      <c r="B40" s="306" t="s">
        <v>1420</v>
      </c>
      <c r="C40" s="1068" t="s">
        <v>380</v>
      </c>
      <c r="D40" s="1526"/>
      <c r="E40" s="1062"/>
    </row>
    <row r="41" spans="1:6" ht="14.25" customHeight="1" x14ac:dyDescent="0.2">
      <c r="A41" s="306"/>
      <c r="B41" s="306" t="s">
        <v>1421</v>
      </c>
      <c r="C41" s="1068" t="s">
        <v>380</v>
      </c>
      <c r="D41" s="1526"/>
      <c r="E41" s="1062"/>
    </row>
    <row r="42" spans="1:6" ht="14.25" customHeight="1" x14ac:dyDescent="0.2">
      <c r="A42" s="306" t="s">
        <v>1422</v>
      </c>
      <c r="B42" s="306"/>
      <c r="C42" s="1524" t="s">
        <v>380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7" t="s">
        <v>1573</v>
      </c>
      <c r="C49" s="2577"/>
      <c r="D49" s="2577"/>
      <c r="E49" s="1168"/>
    </row>
    <row r="50" spans="1:5" s="1076" customFormat="1" ht="3.75" customHeight="1" x14ac:dyDescent="0.2">
      <c r="A50" s="1075"/>
      <c r="B50" s="1475"/>
      <c r="C50" s="1475"/>
      <c r="D50" s="1475"/>
      <c r="E50" s="1168"/>
    </row>
    <row r="51" spans="1:5" s="1076" customFormat="1" ht="20.25" customHeight="1" x14ac:dyDescent="0.2">
      <c r="A51" s="1077">
        <v>6</v>
      </c>
      <c r="B51" s="2572" t="s">
        <v>1534</v>
      </c>
      <c r="C51" s="2572"/>
      <c r="D51" s="2572"/>
    </row>
    <row r="52" spans="1:5" ht="14.25" customHeight="1" x14ac:dyDescent="0.2">
      <c r="A52" s="1077"/>
      <c r="B52" s="2572"/>
      <c r="C52" s="2572"/>
      <c r="D52" s="257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5" zoomScale="110" zoomScaleNormal="110" workbookViewId="0">
      <selection activeCell="D46" sqref="D46"/>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5" t="str">
        <f>'Single Audit Cover'!A7</f>
        <v xml:space="preserve">   Deerfield SD 109</v>
      </c>
      <c r="C1" s="2596"/>
      <c r="D1" s="2596"/>
      <c r="E1" s="2596"/>
      <c r="F1" s="2596"/>
      <c r="G1" s="2596"/>
      <c r="H1" s="2596"/>
      <c r="I1" s="2596"/>
      <c r="J1" s="1178"/>
    </row>
    <row r="2" spans="2:10" s="295" customFormat="1" ht="12.75" customHeight="1" x14ac:dyDescent="0.2">
      <c r="B2" s="2597">
        <f>'Single Audit Cover'!E7</f>
        <v>34049109002</v>
      </c>
      <c r="C2" s="2598"/>
      <c r="D2" s="2598"/>
      <c r="E2" s="2598"/>
      <c r="F2" s="2598"/>
      <c r="G2" s="2598"/>
      <c r="H2" s="2598"/>
      <c r="I2" s="2598"/>
      <c r="J2" s="1178"/>
    </row>
    <row r="3" spans="2:10" s="295" customFormat="1" ht="12.75" customHeight="1" x14ac:dyDescent="0.2">
      <c r="B3" s="2599" t="s">
        <v>1274</v>
      </c>
      <c r="C3" s="2600"/>
      <c r="D3" s="2600"/>
      <c r="E3" s="2600"/>
      <c r="F3" s="2600"/>
      <c r="G3" s="2600"/>
      <c r="H3" s="2600"/>
      <c r="I3" s="2600"/>
      <c r="J3" s="1179"/>
    </row>
    <row r="4" spans="2:10" s="295" customFormat="1" ht="12.75" customHeight="1" x14ac:dyDescent="0.2">
      <c r="B4" s="2599" t="str">
        <f>'Single Audit Cover'!A4</f>
        <v>Year Ending June 30, 2020</v>
      </c>
      <c r="C4" s="2600"/>
      <c r="D4" s="2600"/>
      <c r="E4" s="2600"/>
      <c r="F4" s="2600"/>
      <c r="G4" s="2600"/>
      <c r="H4" s="2600"/>
      <c r="I4" s="260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9" t="s">
        <v>1273</v>
      </c>
      <c r="C7" s="2600"/>
      <c r="D7" s="2600"/>
      <c r="E7" s="2600"/>
      <c r="F7" s="2600"/>
      <c r="G7" s="2600"/>
      <c r="H7" s="2600"/>
      <c r="I7" s="260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1" t="s">
        <v>1154</v>
      </c>
      <c r="D11" s="260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2" t="s">
        <v>2119</v>
      </c>
      <c r="E29" s="2602"/>
      <c r="F29" s="2602"/>
      <c r="G29" s="2602"/>
      <c r="H29" s="2602"/>
      <c r="I29" s="2602"/>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3" t="s">
        <v>1725</v>
      </c>
      <c r="D37" s="2604"/>
      <c r="E37" s="2604"/>
      <c r="F37" s="2605"/>
      <c r="G37" s="2603" t="s">
        <v>1575</v>
      </c>
      <c r="H37" s="2604"/>
      <c r="I37" s="2605"/>
    </row>
    <row r="38" spans="2:9" ht="16.5" customHeight="1" x14ac:dyDescent="0.2">
      <c r="B38" s="1200" t="s">
        <v>2093</v>
      </c>
      <c r="C38" s="2591" t="s">
        <v>2120</v>
      </c>
      <c r="D38" s="2592"/>
      <c r="E38" s="2592"/>
      <c r="F38" s="2593"/>
      <c r="G38" s="2606">
        <v>30958</v>
      </c>
      <c r="H38" s="2607"/>
      <c r="I38" s="2608"/>
    </row>
    <row r="39" spans="2:9" ht="16.5" customHeight="1" x14ac:dyDescent="0.2">
      <c r="B39" s="1200" t="s">
        <v>2096</v>
      </c>
      <c r="C39" s="2591" t="s">
        <v>2121</v>
      </c>
      <c r="D39" s="2592"/>
      <c r="E39" s="2592"/>
      <c r="F39" s="2593"/>
      <c r="G39" s="2594">
        <v>615998</v>
      </c>
      <c r="H39" s="2594"/>
      <c r="I39" s="2594"/>
    </row>
    <row r="40" spans="2:9" ht="16.5" customHeight="1" x14ac:dyDescent="0.2">
      <c r="B40" s="1200" t="s">
        <v>2096</v>
      </c>
      <c r="C40" s="2591" t="s">
        <v>2122</v>
      </c>
      <c r="D40" s="2592"/>
      <c r="E40" s="2592"/>
      <c r="F40" s="2593"/>
      <c r="G40" s="2594">
        <v>114967</v>
      </c>
      <c r="H40" s="2594"/>
      <c r="I40" s="2594"/>
    </row>
    <row r="41" spans="2:9" ht="16.5" customHeight="1" x14ac:dyDescent="0.2">
      <c r="B41" s="1200"/>
      <c r="C41" s="2591"/>
      <c r="D41" s="2592"/>
      <c r="E41" s="2592"/>
      <c r="F41" s="2593"/>
      <c r="G41" s="2594"/>
      <c r="H41" s="2594"/>
      <c r="I41" s="2594"/>
    </row>
    <row r="42" spans="2:9" ht="16.5" customHeight="1" x14ac:dyDescent="0.2">
      <c r="B42" s="1200"/>
      <c r="C42" s="2591"/>
      <c r="D42" s="2592"/>
      <c r="E42" s="2592"/>
      <c r="F42" s="2593"/>
      <c r="G42" s="2594"/>
      <c r="H42" s="2594"/>
      <c r="I42" s="2594"/>
    </row>
    <row r="43" spans="2:9" ht="16.5" customHeight="1" x14ac:dyDescent="0.2">
      <c r="B43" s="1200"/>
      <c r="C43" s="2584" t="s">
        <v>1576</v>
      </c>
      <c r="D43" s="2585"/>
      <c r="E43" s="2585"/>
      <c r="F43" s="2586"/>
      <c r="G43" s="2587">
        <f>SUM(G38:I42)</f>
        <v>761923</v>
      </c>
      <c r="H43" s="2587"/>
      <c r="I43" s="2587"/>
    </row>
    <row r="44" spans="2:9" ht="12.75" customHeight="1" x14ac:dyDescent="0.2"/>
    <row r="45" spans="2:9" ht="12.75" customHeight="1" x14ac:dyDescent="0.2">
      <c r="B45" s="1917" t="str">
        <f>"Total Federal Expenditures for 7/1/"&amp;MID('AFR20'!E2,3,2)-1&amp;"-6/30/"&amp;MID('AFR20'!E2,3,2)</f>
        <v>Total Federal Expenditures for 7/1/19-6/30/20</v>
      </c>
      <c r="C45" s="1918"/>
      <c r="D45" s="2588">
        <v>934520</v>
      </c>
      <c r="E45" s="2589"/>
    </row>
    <row r="46" spans="2:9" ht="5.25" customHeight="1" x14ac:dyDescent="0.2">
      <c r="B46" s="1201"/>
      <c r="D46" s="1202"/>
      <c r="E46" s="1203"/>
    </row>
    <row r="47" spans="2:9" ht="12.75" customHeight="1" x14ac:dyDescent="0.2">
      <c r="B47" s="1076" t="s">
        <v>1577</v>
      </c>
      <c r="C47" s="1076"/>
      <c r="D47" s="1204">
        <f>+G43/D45</f>
        <v>0.81530946368189017</v>
      </c>
      <c r="E47" s="1205"/>
      <c r="F47" s="1206"/>
      <c r="I47" s="1207"/>
    </row>
    <row r="48" spans="2:9" ht="9.9499999999999993" customHeight="1" x14ac:dyDescent="0.2"/>
    <row r="49" spans="1:9" x14ac:dyDescent="0.2">
      <c r="B49" s="1138" t="s">
        <v>1262</v>
      </c>
      <c r="C49" s="1058"/>
      <c r="D49" s="1058"/>
      <c r="E49" s="2590">
        <v>750000</v>
      </c>
      <c r="F49" s="2590"/>
      <c r="G49" s="2590"/>
      <c r="H49" s="300"/>
    </row>
    <row r="51" spans="1:9" ht="13.5" customHeight="1" x14ac:dyDescent="0.2">
      <c r="B51" s="1138" t="s">
        <v>1261</v>
      </c>
      <c r="C51" s="1058"/>
      <c r="E51" s="1194" t="s">
        <v>2048</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5" t="str">
        <f>'Single Audit Cover'!A7</f>
        <v xml:space="preserve">   Deerfield SD 109</v>
      </c>
      <c r="C1" s="2595"/>
      <c r="D1" s="2595"/>
      <c r="E1" s="2595"/>
      <c r="F1" s="2595"/>
      <c r="G1" s="2595"/>
      <c r="H1" s="2595"/>
      <c r="I1" s="2595"/>
      <c r="J1" s="2595"/>
      <c r="K1" s="2595"/>
      <c r="L1" s="1144"/>
      <c r="M1" s="1144"/>
    </row>
    <row r="2" spans="1:13" ht="12" customHeight="1" x14ac:dyDescent="0.2">
      <c r="B2" s="2597">
        <f>'Single Audit Cover'!E7</f>
        <v>34049109002</v>
      </c>
      <c r="C2" s="2597"/>
      <c r="D2" s="2597"/>
      <c r="E2" s="2597"/>
      <c r="F2" s="2597"/>
      <c r="G2" s="2597"/>
      <c r="H2" s="2597"/>
      <c r="I2" s="2597"/>
      <c r="J2" s="2597"/>
      <c r="K2" s="2597"/>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t="s">
        <v>2118</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8" t="str">
        <f>'Single Audit Cover'!A7</f>
        <v xml:space="preserve">   Deerfield SD 109</v>
      </c>
      <c r="C1" s="2618"/>
      <c r="D1" s="2618"/>
      <c r="E1" s="2618"/>
      <c r="F1" s="2618"/>
      <c r="G1" s="2618"/>
      <c r="H1" s="2618"/>
      <c r="I1" s="2618"/>
      <c r="J1" s="2618"/>
      <c r="K1" s="2618"/>
      <c r="L1" s="1221"/>
    </row>
    <row r="2" spans="1:12" ht="12.75" customHeight="1" x14ac:dyDescent="0.2">
      <c r="B2" s="2619">
        <f>'Single Audit Cover'!E7</f>
        <v>34049109002</v>
      </c>
      <c r="C2" s="2619"/>
      <c r="D2" s="2619"/>
      <c r="E2" s="2619"/>
      <c r="F2" s="2619"/>
      <c r="G2" s="2619"/>
      <c r="H2" s="2619"/>
      <c r="I2" s="2619"/>
      <c r="J2" s="2619"/>
      <c r="K2" s="2619"/>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20" t="s">
        <v>1297</v>
      </c>
      <c r="C6" s="2620"/>
      <c r="D6" s="2620"/>
      <c r="E6" s="2620"/>
      <c r="F6" s="2620"/>
      <c r="G6" s="2620"/>
      <c r="H6" s="2620"/>
      <c r="I6" s="2620"/>
      <c r="J6" s="2620"/>
      <c r="K6" s="2620"/>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t="s">
        <v>2118</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2"/>
      <c r="G12" s="2602"/>
      <c r="H12" s="2602"/>
      <c r="I12" s="2602"/>
      <c r="J12" s="2602"/>
      <c r="K12" s="260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0" sqref="B1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5" t="str">
        <f>'Single Audit Cover'!A7</f>
        <v xml:space="preserve">   Deerfield SD 109</v>
      </c>
      <c r="C1" s="2595"/>
      <c r="D1" s="2595"/>
      <c r="E1" s="1240"/>
    </row>
    <row r="2" spans="2:5" s="1058" customFormat="1" ht="12.75" customHeight="1" x14ac:dyDescent="0.2">
      <c r="B2" s="2597">
        <f>'Single Audit Cover'!E7</f>
        <v>34049109002</v>
      </c>
      <c r="C2" s="2597"/>
      <c r="D2" s="2597"/>
      <c r="E2" s="1241"/>
    </row>
    <row r="3" spans="2:5" ht="12.75" customHeight="1" x14ac:dyDescent="0.2">
      <c r="B3" s="2611" t="s">
        <v>1740</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t="s">
        <v>2118</v>
      </c>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1718146856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2.6073800000000001E-2</v>
      </c>
      <c r="E10" s="333" t="s">
        <v>998</v>
      </c>
      <c r="F10" s="332">
        <v>3.3358799999999998E-3</v>
      </c>
      <c r="G10" s="333" t="s">
        <v>998</v>
      </c>
      <c r="H10" s="332">
        <v>6.7444E-4</v>
      </c>
      <c r="I10" s="333" t="s">
        <v>999</v>
      </c>
      <c r="J10" s="1424">
        <f>ROUND(D10+F10+H10,5)</f>
        <v>3.0079999999999999E-2</v>
      </c>
      <c r="K10" s="217"/>
      <c r="L10" s="332"/>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53871765</v>
      </c>
      <c r="E16" s="1547"/>
      <c r="F16" s="1546">
        <f>SUM('Acct Summary 7-8'!C17,'Acct Summary 7-8'!D17,'Acct Summary 7-8'!F17)</f>
        <v>49780399</v>
      </c>
      <c r="G16" s="1547"/>
      <c r="H16" s="1546">
        <f>SUM(D16-F16)</f>
        <v>4091366</v>
      </c>
      <c r="I16" s="1548"/>
      <c r="J16" s="1546">
        <f>SUM('Acct Summary 7-8'!C81,'Acct Summary 7-8'!D81,'Acct Summary 7-8'!F81,'Acct Summary 7-8'!I81)</f>
        <v>19151649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425">
        <f>IF(B31="X",(J7*0.069),IF(B32="X",(J7*0.138),"Enter x in a.or b."))</f>
        <v>118552133.06400001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20335000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Deerfield SD 109</v>
      </c>
      <c r="E7" s="368"/>
      <c r="G7" s="247"/>
      <c r="H7" s="364"/>
      <c r="I7" s="364"/>
      <c r="J7" s="364"/>
      <c r="K7" s="364"/>
      <c r="L7" s="307"/>
      <c r="M7" s="307"/>
      <c r="N7" s="307"/>
      <c r="O7" s="307"/>
      <c r="P7" s="307"/>
    </row>
    <row r="8" spans="1:18" ht="12.75" x14ac:dyDescent="0.2">
      <c r="A8" s="307"/>
      <c r="B8" s="307"/>
      <c r="C8" s="366" t="s">
        <v>1115</v>
      </c>
      <c r="D8" s="369">
        <f>COVER!A13</f>
        <v>34049109002</v>
      </c>
      <c r="E8" s="370"/>
      <c r="G8" s="307"/>
      <c r="H8" s="307"/>
      <c r="I8" s="307"/>
      <c r="J8" s="307"/>
      <c r="K8" s="307"/>
      <c r="L8" s="307"/>
      <c r="M8" s="307"/>
      <c r="N8" s="307"/>
      <c r="O8" s="307"/>
      <c r="P8" s="307"/>
    </row>
    <row r="9" spans="1:18" ht="12.75" x14ac:dyDescent="0.2">
      <c r="A9" s="307"/>
      <c r="B9" s="307"/>
      <c r="C9" s="366" t="s">
        <v>708</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19151649</v>
      </c>
      <c r="I12" s="380"/>
      <c r="J12" s="380"/>
      <c r="K12" s="1559">
        <f>TRUNC((H12/H13*100000),5)/100000</f>
        <v>0.35574099339999998</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53835935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-35830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49780399</v>
      </c>
      <c r="I17" s="380"/>
      <c r="J17" s="389"/>
      <c r="K17" s="1559">
        <f>TRUNC((H17/H18*100000),5)/100000</f>
        <v>0.92466860650000005</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53835935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-35830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43970576</v>
      </c>
      <c r="I24" s="394"/>
      <c r="J24" s="394"/>
      <c r="K24" s="1555">
        <f>TRUNC(((H24/H25*100000)/100000),2)</f>
        <v>317.98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138278.88610999999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43929578.814209998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20335000</v>
      </c>
      <c r="I32" s="392"/>
      <c r="J32" s="392"/>
      <c r="K32" s="1555">
        <f>TRUNC(100-((((H32/H33*100))*100)/100),2)</f>
        <v>82.84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118552133.06400001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L34" sqref="L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38010470</v>
      </c>
      <c r="D4" s="1573">
        <v>4054491</v>
      </c>
      <c r="E4" s="1573">
        <v>1682942</v>
      </c>
      <c r="F4" s="1573">
        <v>1905615</v>
      </c>
      <c r="G4" s="1573">
        <v>1145789</v>
      </c>
      <c r="H4" s="1573">
        <v>5394332</v>
      </c>
      <c r="I4" s="1573"/>
      <c r="J4" s="1574"/>
      <c r="K4" s="1573">
        <v>534435</v>
      </c>
      <c r="L4" s="1573">
        <v>122456</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f>25483430</f>
        <v>25483430</v>
      </c>
      <c r="D6" s="1573">
        <v>3190615</v>
      </c>
      <c r="E6" s="1573"/>
      <c r="F6" s="1573">
        <v>645051</v>
      </c>
      <c r="G6" s="1577">
        <v>518545</v>
      </c>
      <c r="H6" s="1577">
        <v>75306</v>
      </c>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v>123232</v>
      </c>
      <c r="D8" s="1574"/>
      <c r="E8" s="1574"/>
      <c r="F8" s="1574">
        <v>61133</v>
      </c>
      <c r="G8" s="1583"/>
      <c r="H8" s="1574"/>
      <c r="I8" s="1579"/>
      <c r="J8" s="1579"/>
      <c r="K8" s="1584"/>
      <c r="L8" s="1585"/>
      <c r="M8" s="1575"/>
      <c r="N8" s="1576"/>
    </row>
    <row r="9" spans="1:14" ht="13.5" customHeight="1" x14ac:dyDescent="0.2">
      <c r="A9" s="430" t="s">
        <v>268</v>
      </c>
      <c r="B9" s="429">
        <v>160</v>
      </c>
      <c r="C9" s="1581">
        <v>161395</v>
      </c>
      <c r="D9" s="1574">
        <v>9818</v>
      </c>
      <c r="E9" s="1574">
        <v>6203</v>
      </c>
      <c r="F9" s="1574">
        <v>12270</v>
      </c>
      <c r="G9" s="1574">
        <v>6094</v>
      </c>
      <c r="H9" s="1583">
        <v>32445</v>
      </c>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323291</v>
      </c>
      <c r="D11" s="1574">
        <v>9550</v>
      </c>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64101818</v>
      </c>
      <c r="D13" s="1587">
        <f t="shared" ref="D13:L13" si="0">SUM(D4:D12)</f>
        <v>7264474</v>
      </c>
      <c r="E13" s="1587">
        <f t="shared" si="0"/>
        <v>1689145</v>
      </c>
      <c r="F13" s="1587">
        <f t="shared" si="0"/>
        <v>2624069</v>
      </c>
      <c r="G13" s="1587">
        <f t="shared" si="0"/>
        <v>1670428</v>
      </c>
      <c r="H13" s="1587">
        <f t="shared" si="0"/>
        <v>5502083</v>
      </c>
      <c r="I13" s="1587">
        <f t="shared" si="0"/>
        <v>0</v>
      </c>
      <c r="J13" s="1587">
        <f t="shared" si="0"/>
        <v>0</v>
      </c>
      <c r="K13" s="1587">
        <f t="shared" si="0"/>
        <v>534435</v>
      </c>
      <c r="L13" s="1587">
        <f t="shared" si="0"/>
        <v>122456</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127188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106422265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3314227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33527614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1660545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18674455</v>
      </c>
    </row>
    <row r="23" spans="1:14" ht="13.5" customHeight="1" thickBot="1" x14ac:dyDescent="0.25">
      <c r="A23" s="1426" t="s">
        <v>638</v>
      </c>
      <c r="B23" s="1429"/>
      <c r="C23" s="1575"/>
      <c r="D23" s="1575"/>
      <c r="E23" s="1575"/>
      <c r="F23" s="1575"/>
      <c r="G23" s="1575"/>
      <c r="H23" s="1575"/>
      <c r="I23" s="1575"/>
      <c r="J23" s="1575"/>
      <c r="K23" s="1575"/>
      <c r="L23" s="1575"/>
      <c r="M23" s="1594">
        <f>SUM(M15:M22)</f>
        <v>143391294</v>
      </c>
      <c r="N23" s="1594">
        <f>SUM(N21:N22)</f>
        <v>20335000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451509</v>
      </c>
      <c r="D27" s="1574">
        <v>154504</v>
      </c>
      <c r="E27" s="1574">
        <v>28600</v>
      </c>
      <c r="F27" s="1574"/>
      <c r="G27" s="1574"/>
      <c r="H27" s="1574">
        <v>113253</v>
      </c>
      <c r="I27" s="1574"/>
      <c r="J27" s="1574"/>
      <c r="K27" s="1574">
        <v>534435</v>
      </c>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2200055</v>
      </c>
      <c r="D31" s="1574"/>
      <c r="E31" s="1574"/>
      <c r="F31" s="1573"/>
      <c r="G31" s="1574">
        <v>57835</v>
      </c>
      <c r="H31" s="1574"/>
      <c r="I31" s="1574"/>
      <c r="J31" s="1574"/>
      <c r="K31" s="1574"/>
      <c r="L31" s="1575"/>
      <c r="M31" s="1575"/>
      <c r="N31" s="1575"/>
    </row>
    <row r="32" spans="1:14" ht="13.5" customHeight="1" x14ac:dyDescent="0.2">
      <c r="A32" s="434" t="s">
        <v>647</v>
      </c>
      <c r="B32" s="435">
        <v>490</v>
      </c>
      <c r="C32" s="1599">
        <v>45227629</v>
      </c>
      <c r="D32" s="1599">
        <v>5660575</v>
      </c>
      <c r="E32" s="1579"/>
      <c r="F32" s="1579">
        <v>1144440</v>
      </c>
      <c r="G32" s="1579">
        <v>919821</v>
      </c>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122456</v>
      </c>
      <c r="M33" s="1575"/>
      <c r="N33" s="1576"/>
    </row>
    <row r="34" spans="1:14" ht="13.5" customHeight="1" thickBot="1" x14ac:dyDescent="0.25">
      <c r="A34" s="1427" t="s">
        <v>649</v>
      </c>
      <c r="B34" s="1428"/>
      <c r="C34" s="1600">
        <f>SUM(C25:C33)</f>
        <v>47879193</v>
      </c>
      <c r="D34" s="1600">
        <f t="shared" ref="D34:K34" si="1">SUM(D25:D33)</f>
        <v>5815079</v>
      </c>
      <c r="E34" s="1600">
        <f t="shared" si="1"/>
        <v>28600</v>
      </c>
      <c r="F34" s="1600">
        <f t="shared" si="1"/>
        <v>1144440</v>
      </c>
      <c r="G34" s="1600">
        <f t="shared" si="1"/>
        <v>977656</v>
      </c>
      <c r="H34" s="1600">
        <f t="shared" si="1"/>
        <v>113253</v>
      </c>
      <c r="I34" s="1600">
        <f t="shared" si="1"/>
        <v>0</v>
      </c>
      <c r="J34" s="1600">
        <f t="shared" si="1"/>
        <v>0</v>
      </c>
      <c r="K34" s="1600">
        <f t="shared" si="1"/>
        <v>534435</v>
      </c>
      <c r="L34" s="1601">
        <f>SUM(L33)</f>
        <v>122456</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20335000</v>
      </c>
    </row>
    <row r="37" spans="1:14" ht="13.5" thickBot="1" x14ac:dyDescent="0.25">
      <c r="A37" s="1426" t="s">
        <v>648</v>
      </c>
      <c r="B37" s="1429"/>
      <c r="C37" s="1582"/>
      <c r="D37" s="1582"/>
      <c r="E37" s="1582"/>
      <c r="F37" s="1582"/>
      <c r="G37" s="1582"/>
      <c r="H37" s="1582"/>
      <c r="I37" s="1582"/>
      <c r="J37" s="1582"/>
      <c r="K37" s="1582"/>
      <c r="L37" s="1585"/>
      <c r="M37" s="1575"/>
      <c r="N37" s="1594">
        <f>SUM(N36:N36)</f>
        <v>20335000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16222625</v>
      </c>
      <c r="D39" s="1573">
        <v>1449395</v>
      </c>
      <c r="E39" s="1573">
        <v>1660545</v>
      </c>
      <c r="F39" s="1573">
        <v>1479629</v>
      </c>
      <c r="G39" s="1573">
        <v>692772</v>
      </c>
      <c r="H39" s="1573">
        <v>5388830</v>
      </c>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143391294</v>
      </c>
      <c r="N40" s="1604"/>
    </row>
    <row r="41" spans="1:14" ht="13.5" customHeight="1" thickBot="1" x14ac:dyDescent="0.25">
      <c r="A41" s="1426" t="s">
        <v>650</v>
      </c>
      <c r="B41" s="1405"/>
      <c r="C41" s="1594">
        <f>(SUM(C34,C37,C38,C39))</f>
        <v>64101818</v>
      </c>
      <c r="D41" s="1594">
        <f t="shared" ref="D41:L41" si="2">SUM(D34,D37,D38:D39)</f>
        <v>7264474</v>
      </c>
      <c r="E41" s="1594">
        <f t="shared" si="2"/>
        <v>1689145</v>
      </c>
      <c r="F41" s="1594">
        <f t="shared" si="2"/>
        <v>2624069</v>
      </c>
      <c r="G41" s="1594">
        <f t="shared" si="2"/>
        <v>1670428</v>
      </c>
      <c r="H41" s="1594">
        <f t="shared" si="2"/>
        <v>5502083</v>
      </c>
      <c r="I41" s="1594">
        <f t="shared" si="2"/>
        <v>0</v>
      </c>
      <c r="J41" s="1594">
        <f t="shared" si="2"/>
        <v>0</v>
      </c>
      <c r="K41" s="1594">
        <f t="shared" si="2"/>
        <v>534435</v>
      </c>
      <c r="L41" s="1594">
        <f t="shared" si="2"/>
        <v>122456</v>
      </c>
      <c r="M41" s="1594">
        <f>SUM(M40)</f>
        <v>143391294</v>
      </c>
      <c r="N41" s="1594">
        <f>SUM(N37)</f>
        <v>20335000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3" activePane="bottomLeft" state="frozen"/>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45874104</v>
      </c>
      <c r="D4" s="1606">
        <f>'Revenues 9-14'!D109</f>
        <v>5553329</v>
      </c>
      <c r="E4" s="1606">
        <f>'Revenues 9-14'!E109</f>
        <v>6546</v>
      </c>
      <c r="F4" s="1606">
        <f>'Revenues 9-14'!F109</f>
        <v>1238594</v>
      </c>
      <c r="G4" s="1606">
        <f>'Revenues 9-14'!G109</f>
        <v>947964</v>
      </c>
      <c r="H4" s="1606">
        <f>'Revenues 9-14'!H109</f>
        <v>634291</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74899</v>
      </c>
      <c r="D6" s="1607">
        <f>'Revenues 9-14'!D170</f>
        <v>0</v>
      </c>
      <c r="E6" s="1607">
        <f>'Revenues 9-14'!E170</f>
        <v>0</v>
      </c>
      <c r="F6" s="1607">
        <f>'Revenues 9-14'!F170</f>
        <v>246984</v>
      </c>
      <c r="G6" s="1607">
        <f>'Revenues 9-14'!G170</f>
        <v>0</v>
      </c>
      <c r="H6" s="1607">
        <f>'Revenues 9-14'!H170</f>
        <v>1824177</v>
      </c>
      <c r="I6" s="1607">
        <f>'Revenues 9-14'!I170</f>
        <v>0</v>
      </c>
      <c r="J6" s="1607">
        <f>'Revenues 9-14'!J170</f>
        <v>0</v>
      </c>
      <c r="K6" s="1607">
        <f>'Revenues 9-14'!K170</f>
        <v>0</v>
      </c>
      <c r="L6" s="325"/>
      <c r="M6" s="448"/>
    </row>
    <row r="7" spans="1:13" ht="15.75" customHeight="1" x14ac:dyDescent="0.2">
      <c r="A7" s="1314" t="s">
        <v>1485</v>
      </c>
      <c r="B7" s="1316">
        <v>4000</v>
      </c>
      <c r="C7" s="1607">
        <f>'Revenues 9-14'!C267</f>
        <v>883855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46832858</v>
      </c>
      <c r="D8" s="1594">
        <f t="shared" ref="D8:K8" si="0">SUM(D4:D7)</f>
        <v>5553329</v>
      </c>
      <c r="E8" s="1594">
        <f t="shared" si="0"/>
        <v>6546</v>
      </c>
      <c r="F8" s="1594">
        <f t="shared" si="0"/>
        <v>1485578</v>
      </c>
      <c r="G8" s="1594">
        <f t="shared" si="0"/>
        <v>947964</v>
      </c>
      <c r="H8" s="1594">
        <f t="shared" si="0"/>
        <v>2458468</v>
      </c>
      <c r="I8" s="1594">
        <f t="shared" si="0"/>
        <v>0</v>
      </c>
      <c r="J8" s="1594">
        <f t="shared" si="0"/>
        <v>0</v>
      </c>
      <c r="K8" s="1594">
        <f t="shared" si="0"/>
        <v>0</v>
      </c>
      <c r="L8" s="325"/>
    </row>
    <row r="9" spans="1:13" ht="15.75" thickTop="1" x14ac:dyDescent="0.2">
      <c r="A9" s="449" t="s">
        <v>1634</v>
      </c>
      <c r="B9" s="450">
        <v>3998</v>
      </c>
      <c r="C9" s="1586">
        <v>22250446</v>
      </c>
      <c r="D9" s="1613"/>
      <c r="E9" s="1586"/>
      <c r="F9" s="1586"/>
      <c r="G9" s="1614"/>
      <c r="H9" s="1586"/>
      <c r="I9" s="1609" t="s">
        <v>1159</v>
      </c>
      <c r="J9" s="1583"/>
      <c r="K9" s="1586"/>
      <c r="L9" s="325"/>
    </row>
    <row r="10" spans="1:13" s="452" customFormat="1" ht="13.5" thickBot="1" x14ac:dyDescent="0.25">
      <c r="A10" s="1426" t="s">
        <v>1163</v>
      </c>
      <c r="B10" s="1407"/>
      <c r="C10" s="1594">
        <f>SUM(C8:C9)</f>
        <v>69083304</v>
      </c>
      <c r="D10" s="1594">
        <f t="shared" ref="D10:K10" si="1">SUM(D8:D9)</f>
        <v>5553329</v>
      </c>
      <c r="E10" s="1594">
        <f t="shared" si="1"/>
        <v>6546</v>
      </c>
      <c r="F10" s="1594">
        <f t="shared" si="1"/>
        <v>1485578</v>
      </c>
      <c r="G10" s="1594">
        <f t="shared" si="1"/>
        <v>947964</v>
      </c>
      <c r="H10" s="1594">
        <f t="shared" si="1"/>
        <v>2458468</v>
      </c>
      <c r="I10" s="1594">
        <f t="shared" si="1"/>
        <v>0</v>
      </c>
      <c r="J10" s="1594">
        <f t="shared" si="1"/>
        <v>0</v>
      </c>
      <c r="K10" s="1594">
        <f t="shared" si="1"/>
        <v>0</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28492357</v>
      </c>
      <c r="D12" s="1616" t="s">
        <v>1159</v>
      </c>
      <c r="E12" s="1575" t="s">
        <v>1159</v>
      </c>
      <c r="F12" s="1575" t="s">
        <v>1159</v>
      </c>
      <c r="G12" s="1606">
        <f>'Expenditures 15-22'!K229</f>
        <v>607143</v>
      </c>
      <c r="H12" s="1617"/>
      <c r="I12" s="1575" t="s">
        <v>1159</v>
      </c>
      <c r="J12" s="1575" t="s">
        <v>1159</v>
      </c>
      <c r="K12" s="1617" t="s">
        <v>1159</v>
      </c>
      <c r="L12" s="325"/>
    </row>
    <row r="13" spans="1:13" ht="15.75" customHeight="1" x14ac:dyDescent="0.2">
      <c r="A13" s="1314" t="s">
        <v>454</v>
      </c>
      <c r="B13" s="1316">
        <v>2000</v>
      </c>
      <c r="C13" s="1607">
        <f>'Expenditures 15-22'!K74</f>
        <v>13230291</v>
      </c>
      <c r="D13" s="1607">
        <f>'Expenditures 15-22'!K129</f>
        <v>6053149</v>
      </c>
      <c r="E13" s="1576" t="s">
        <v>1159</v>
      </c>
      <c r="F13" s="1607">
        <f>'Expenditures 15-22'!K184</f>
        <v>1400746</v>
      </c>
      <c r="G13" s="1607">
        <f>'Expenditures 15-22'!K279</f>
        <v>502889</v>
      </c>
      <c r="H13" s="1607">
        <f>'Expenditures 15-22'!K303</f>
        <v>4183643</v>
      </c>
      <c r="I13" s="1575" t="s">
        <v>1159</v>
      </c>
      <c r="J13" s="1607">
        <f>'Expenditures 15-22'!K330</f>
        <v>0</v>
      </c>
      <c r="K13" s="1618">
        <f>'Expenditures 15-22'!K352</f>
        <v>1275267</v>
      </c>
      <c r="L13" s="325"/>
    </row>
    <row r="14" spans="1:13" ht="15.75" customHeight="1" x14ac:dyDescent="0.2">
      <c r="A14" s="1314" t="s">
        <v>446</v>
      </c>
      <c r="B14" s="1316">
        <v>3000</v>
      </c>
      <c r="C14" s="1607">
        <f>'Expenditures 15-22'!K75</f>
        <v>162002</v>
      </c>
      <c r="D14" s="1607">
        <f>'Expenditures 15-22'!K130</f>
        <v>0</v>
      </c>
      <c r="E14" s="1616" t="s">
        <v>1159</v>
      </c>
      <c r="F14" s="1607">
        <f>'Expenditures 15-22'!K185</f>
        <v>0</v>
      </c>
      <c r="G14" s="1607">
        <f>'Expenditures 15-22'!K280</f>
        <v>21156</v>
      </c>
      <c r="H14" s="1612"/>
      <c r="I14" s="1575" t="s">
        <v>1159</v>
      </c>
      <c r="J14" s="1575" t="s">
        <v>1159</v>
      </c>
      <c r="K14" s="1612" t="s">
        <v>1159</v>
      </c>
      <c r="L14" s="325"/>
    </row>
    <row r="15" spans="1:13" ht="15.75" customHeight="1" x14ac:dyDescent="0.2">
      <c r="A15" s="1314" t="s">
        <v>107</v>
      </c>
      <c r="B15" s="1316">
        <v>4000</v>
      </c>
      <c r="C15" s="1607">
        <f>'Expenditures 15-22'!K102</f>
        <v>441854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740697</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42326504</v>
      </c>
      <c r="D17" s="1594">
        <f t="shared" si="2"/>
        <v>6053149</v>
      </c>
      <c r="E17" s="1594">
        <f t="shared" si="2"/>
        <v>740697</v>
      </c>
      <c r="F17" s="1594">
        <f t="shared" si="2"/>
        <v>1400746</v>
      </c>
      <c r="G17" s="1594">
        <f t="shared" si="2"/>
        <v>1131188</v>
      </c>
      <c r="H17" s="1594">
        <f t="shared" si="2"/>
        <v>4183643</v>
      </c>
      <c r="I17" s="1575"/>
      <c r="J17" s="1594">
        <f>SUM(J12:J16)</f>
        <v>0</v>
      </c>
      <c r="K17" s="1594">
        <f>SUM(K12:K16)</f>
        <v>1275267</v>
      </c>
      <c r="L17" s="325"/>
    </row>
    <row r="18" spans="1:12" ht="15" customHeight="1" thickTop="1" x14ac:dyDescent="0.2">
      <c r="A18" s="1430" t="s">
        <v>1635</v>
      </c>
      <c r="B18" s="1431">
        <v>4180</v>
      </c>
      <c r="C18" s="1606">
        <f t="shared" ref="C18:H18" si="3">C9</f>
        <v>22250446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64576950</v>
      </c>
      <c r="D19" s="1594">
        <f t="shared" si="4"/>
        <v>6053149</v>
      </c>
      <c r="E19" s="1594">
        <f t="shared" si="4"/>
        <v>740697</v>
      </c>
      <c r="F19" s="1594">
        <f t="shared" si="4"/>
        <v>1400746</v>
      </c>
      <c r="G19" s="1594">
        <f t="shared" si="4"/>
        <v>1131188</v>
      </c>
      <c r="H19" s="1594">
        <f t="shared" si="4"/>
        <v>4183643</v>
      </c>
      <c r="I19" s="1575"/>
      <c r="J19" s="1594">
        <f>SUM(J17:J18)</f>
        <v>0</v>
      </c>
      <c r="K19" s="1594">
        <f>SUM(K17:K18)</f>
        <v>1275267</v>
      </c>
      <c r="L19" s="325"/>
    </row>
    <row r="20" spans="1:12" ht="16.5" thickTop="1" thickBot="1" x14ac:dyDescent="0.25">
      <c r="A20" s="2233" t="s">
        <v>1636</v>
      </c>
      <c r="B20" s="2234"/>
      <c r="C20" s="1622">
        <f>C8-C17</f>
        <v>4506354</v>
      </c>
      <c r="D20" s="1622">
        <f t="shared" ref="D20:K20" si="5">D8-D17</f>
        <v>-499820</v>
      </c>
      <c r="E20" s="1622">
        <f t="shared" si="5"/>
        <v>-734151</v>
      </c>
      <c r="F20" s="1622">
        <f t="shared" si="5"/>
        <v>84832</v>
      </c>
      <c r="G20" s="1622">
        <f t="shared" si="5"/>
        <v>-183224</v>
      </c>
      <c r="H20" s="1622">
        <f t="shared" si="5"/>
        <v>-1725175</v>
      </c>
      <c r="I20" s="1622">
        <f t="shared" si="5"/>
        <v>0</v>
      </c>
      <c r="J20" s="1622">
        <f t="shared" si="5"/>
        <v>0</v>
      </c>
      <c r="K20" s="1622">
        <f t="shared" si="5"/>
        <v>-1275267</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v>500000</v>
      </c>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v>2915000</v>
      </c>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1479023</v>
      </c>
      <c r="F39" s="1582"/>
      <c r="G39" s="1582"/>
      <c r="H39" s="1582"/>
      <c r="I39" s="1582"/>
      <c r="J39" s="1582"/>
      <c r="K39" s="1582"/>
      <c r="L39" s="453"/>
    </row>
    <row r="40" spans="1:12" s="433" customFormat="1" ht="13.5" customHeight="1" x14ac:dyDescent="0.2">
      <c r="A40" s="1260" t="s">
        <v>637</v>
      </c>
      <c r="B40" s="432">
        <v>7700</v>
      </c>
      <c r="C40" s="1582"/>
      <c r="D40" s="1582"/>
      <c r="E40" s="1607">
        <f>SUM(C66:D69)</f>
        <v>35830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500000</v>
      </c>
      <c r="D44" s="1624">
        <f t="shared" ref="D44:K44" si="6">SUM(D24:D43)</f>
        <v>0</v>
      </c>
      <c r="E44" s="1624">
        <f t="shared" si="6"/>
        <v>4429853</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v>500000</v>
      </c>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v>1479023</v>
      </c>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v>35830</v>
      </c>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v>2915000</v>
      </c>
      <c r="F75" s="1628"/>
      <c r="G75" s="1628"/>
      <c r="H75" s="1628"/>
      <c r="I75" s="1626"/>
      <c r="J75" s="1626"/>
      <c r="K75" s="1628"/>
      <c r="L75" s="453"/>
    </row>
    <row r="76" spans="1:12" s="433" customFormat="1" ht="14.25" thickTop="1" thickBot="1" x14ac:dyDescent="0.25">
      <c r="A76" s="2223" t="s">
        <v>437</v>
      </c>
      <c r="B76" s="2224"/>
      <c r="C76" s="1624">
        <f t="shared" ref="C76:K76" si="7">SUM(C47:C75)</f>
        <v>1479023</v>
      </c>
      <c r="D76" s="1624">
        <f t="shared" si="7"/>
        <v>35830</v>
      </c>
      <c r="E76" s="1624">
        <f t="shared" si="7"/>
        <v>2915000</v>
      </c>
      <c r="F76" s="1624">
        <f t="shared" si="7"/>
        <v>500000</v>
      </c>
      <c r="G76" s="1624">
        <f t="shared" si="7"/>
        <v>0</v>
      </c>
      <c r="H76" s="1624">
        <f t="shared" si="7"/>
        <v>0</v>
      </c>
      <c r="I76" s="1624">
        <f t="shared" si="7"/>
        <v>0</v>
      </c>
      <c r="J76" s="1624">
        <f t="shared" si="7"/>
        <v>0</v>
      </c>
      <c r="K76" s="1624">
        <f t="shared" si="7"/>
        <v>0</v>
      </c>
      <c r="L76" s="453"/>
    </row>
    <row r="77" spans="1:12" ht="14.25" thickTop="1" thickBot="1" x14ac:dyDescent="0.25">
      <c r="A77" s="2225" t="s">
        <v>1167</v>
      </c>
      <c r="B77" s="2226"/>
      <c r="C77" s="1624">
        <f t="shared" ref="C77:K77" si="8">C44-C76</f>
        <v>-979023</v>
      </c>
      <c r="D77" s="1624">
        <f t="shared" si="8"/>
        <v>-35830</v>
      </c>
      <c r="E77" s="1624">
        <f t="shared" si="8"/>
        <v>1514853</v>
      </c>
      <c r="F77" s="1624">
        <f t="shared" si="8"/>
        <v>-500000</v>
      </c>
      <c r="G77" s="1624">
        <f t="shared" si="8"/>
        <v>0</v>
      </c>
      <c r="H77" s="1624">
        <f t="shared" si="8"/>
        <v>0</v>
      </c>
      <c r="I77" s="1624">
        <f t="shared" si="8"/>
        <v>0</v>
      </c>
      <c r="J77" s="1624">
        <f t="shared" si="8"/>
        <v>0</v>
      </c>
      <c r="K77" s="1624">
        <f t="shared" si="8"/>
        <v>0</v>
      </c>
      <c r="L77" s="325"/>
    </row>
    <row r="78" spans="1:12" ht="21.75" customHeight="1" thickTop="1" thickBot="1" x14ac:dyDescent="0.25">
      <c r="A78" s="2229" t="s">
        <v>593</v>
      </c>
      <c r="B78" s="2230"/>
      <c r="C78" s="1629">
        <f t="shared" ref="C78:K78" si="9">C20+C77</f>
        <v>3527331</v>
      </c>
      <c r="D78" s="1629">
        <f t="shared" si="9"/>
        <v>-535650</v>
      </c>
      <c r="E78" s="1629">
        <f t="shared" si="9"/>
        <v>780702</v>
      </c>
      <c r="F78" s="1629">
        <f t="shared" si="9"/>
        <v>-415168</v>
      </c>
      <c r="G78" s="1629">
        <f t="shared" si="9"/>
        <v>-183224</v>
      </c>
      <c r="H78" s="1629">
        <f t="shared" si="9"/>
        <v>-1725175</v>
      </c>
      <c r="I78" s="1629">
        <f t="shared" si="9"/>
        <v>0</v>
      </c>
      <c r="J78" s="1629">
        <f t="shared" si="9"/>
        <v>0</v>
      </c>
      <c r="K78" s="1629">
        <f t="shared" si="9"/>
        <v>-1275267</v>
      </c>
      <c r="L78" s="457"/>
    </row>
    <row r="79" spans="1:12" ht="13.5" thickTop="1" x14ac:dyDescent="0.2">
      <c r="A79" s="1844" t="str">
        <f>"Fund Balances - July 1, "&amp;'AFR20'!E2-1</f>
        <v>Fund Balances - July 1, 2019</v>
      </c>
      <c r="B79" s="458"/>
      <c r="C79" s="1583">
        <v>12695294</v>
      </c>
      <c r="D79" s="1630">
        <v>1985045</v>
      </c>
      <c r="E79" s="1630">
        <v>879843</v>
      </c>
      <c r="F79" s="1630">
        <v>1894797</v>
      </c>
      <c r="G79" s="1630">
        <v>875996</v>
      </c>
      <c r="H79" s="1630">
        <v>7114005</v>
      </c>
      <c r="I79" s="1630"/>
      <c r="J79" s="1630"/>
      <c r="K79" s="1630">
        <v>1275267</v>
      </c>
      <c r="L79" s="325"/>
    </row>
    <row r="80" spans="1:12" x14ac:dyDescent="0.2">
      <c r="A80" s="2235" t="s">
        <v>1769</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16222625</v>
      </c>
      <c r="D81" s="1594">
        <f>SUM(D78:D80)</f>
        <v>1449395</v>
      </c>
      <c r="E81" s="1594">
        <f t="shared" ref="E81:K81" si="10">SUM(E78:E80)</f>
        <v>1660545</v>
      </c>
      <c r="F81" s="1594">
        <f t="shared" si="10"/>
        <v>1479629</v>
      </c>
      <c r="G81" s="1594">
        <f t="shared" si="10"/>
        <v>692772</v>
      </c>
      <c r="H81" s="1594">
        <f t="shared" si="10"/>
        <v>5388830</v>
      </c>
      <c r="I81" s="1594">
        <f t="shared" si="10"/>
        <v>0</v>
      </c>
      <c r="J81" s="1594">
        <f t="shared" si="10"/>
        <v>0</v>
      </c>
      <c r="K81" s="1594">
        <f t="shared" si="10"/>
        <v>0</v>
      </c>
      <c r="L81" s="325"/>
    </row>
    <row r="82" spans="1:12" ht="0.75" customHeight="1" thickTop="1" thickBot="1" x14ac:dyDescent="0.25">
      <c r="A82" s="459" t="s">
        <v>340</v>
      </c>
      <c r="B82" s="460"/>
      <c r="C82" s="461">
        <f>(C81-C79)</f>
        <v>3527331</v>
      </c>
      <c r="D82" s="461">
        <f t="shared" ref="D82:K82" si="11">(D81-D79)</f>
        <v>-535650</v>
      </c>
      <c r="E82" s="461">
        <f t="shared" si="11"/>
        <v>780702</v>
      </c>
      <c r="F82" s="461">
        <f t="shared" si="11"/>
        <v>-415168</v>
      </c>
      <c r="G82" s="461">
        <f t="shared" si="11"/>
        <v>-183224</v>
      </c>
      <c r="H82" s="461">
        <f t="shared" si="11"/>
        <v>-1725175</v>
      </c>
      <c r="I82" s="461">
        <f t="shared" si="11"/>
        <v>0</v>
      </c>
      <c r="J82" s="461">
        <f t="shared" si="11"/>
        <v>0</v>
      </c>
      <c r="K82" s="461">
        <f t="shared" si="11"/>
        <v>-1275267</v>
      </c>
    </row>
    <row r="83" spans="1:12" ht="14.25" hidden="1" thickTop="1" thickBot="1" x14ac:dyDescent="0.25">
      <c r="A83" s="462" t="s">
        <v>341</v>
      </c>
      <c r="B83" s="428"/>
      <c r="C83" s="463">
        <f>C82/C81</f>
        <v>0.21743281374006981</v>
      </c>
      <c r="D83" s="463">
        <f t="shared" ref="D83:K83" si="12">D82/D81</f>
        <v>-0.36956799216224701</v>
      </c>
      <c r="E83" s="463">
        <f t="shared" si="12"/>
        <v>0.47014805380161334</v>
      </c>
      <c r="F83" s="463">
        <f t="shared" si="12"/>
        <v>-0.28058925582020899</v>
      </c>
      <c r="G83" s="463">
        <f t="shared" si="12"/>
        <v>-0.26447951129664593</v>
      </c>
      <c r="H83" s="463">
        <f t="shared" si="12"/>
        <v>-0.32013906543720994</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60" activePane="bottomLeft" state="frozen"/>
      <selection pane="bottomLeft" activeCell="C168" sqref="C16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1776</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43855065</v>
      </c>
      <c r="D5" s="1586">
        <v>5486263</v>
      </c>
      <c r="E5" s="1573">
        <v>6546</v>
      </c>
      <c r="F5" s="1631">
        <v>1146634</v>
      </c>
      <c r="G5" s="1573">
        <v>357774</v>
      </c>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766734</v>
      </c>
      <c r="D7" s="1573"/>
      <c r="E7" s="1575"/>
      <c r="F7" s="1574"/>
      <c r="G7" s="1574"/>
      <c r="H7" s="1574"/>
      <c r="I7" s="1575"/>
      <c r="J7" s="1575"/>
      <c r="K7" s="1575"/>
    </row>
    <row r="8" spans="1:12" x14ac:dyDescent="0.2">
      <c r="A8" s="427" t="s">
        <v>410</v>
      </c>
      <c r="B8" s="429">
        <v>1150</v>
      </c>
      <c r="C8" s="1580"/>
      <c r="D8" s="1580"/>
      <c r="E8" s="1582"/>
      <c r="F8" s="1582"/>
      <c r="G8" s="1586">
        <v>536652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44621799</v>
      </c>
      <c r="D12" s="1633">
        <f t="shared" si="0"/>
        <v>5486263</v>
      </c>
      <c r="E12" s="1633">
        <f t="shared" si="0"/>
        <v>6546</v>
      </c>
      <c r="F12" s="1633">
        <f t="shared" si="0"/>
        <v>1146634</v>
      </c>
      <c r="G12" s="1633">
        <f t="shared" si="0"/>
        <v>894426</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v>37448</v>
      </c>
      <c r="H16" s="1573">
        <v>490689</v>
      </c>
      <c r="I16" s="1573"/>
      <c r="J16" s="1574"/>
      <c r="K16" s="1573"/>
    </row>
    <row r="17" spans="1:11" ht="12.75" customHeight="1" x14ac:dyDescent="0.2">
      <c r="A17" s="427" t="s">
        <v>802</v>
      </c>
      <c r="B17" s="429">
        <v>1290</v>
      </c>
      <c r="C17" s="1632"/>
      <c r="D17" s="1573"/>
      <c r="E17" s="1573"/>
      <c r="F17" s="1573"/>
      <c r="G17" s="1573"/>
      <c r="H17" s="1573">
        <v>31764</v>
      </c>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37448</v>
      </c>
      <c r="H18" s="1635">
        <f t="shared" si="1"/>
        <v>522453</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227663</v>
      </c>
      <c r="D20" s="1575"/>
      <c r="E20" s="1575"/>
      <c r="F20" s="1575"/>
      <c r="G20" s="1575"/>
      <c r="H20" s="1575"/>
      <c r="I20" s="1575"/>
      <c r="J20" s="1575"/>
      <c r="K20" s="1575"/>
    </row>
    <row r="21" spans="1:11" ht="12.75" customHeight="1" x14ac:dyDescent="0.2">
      <c r="A21" s="427" t="s">
        <v>827</v>
      </c>
      <c r="B21" s="429">
        <v>1312</v>
      </c>
      <c r="C21" s="1632">
        <v>24152</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251815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70430</v>
      </c>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70430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517846</v>
      </c>
      <c r="D65" s="1573">
        <v>52425</v>
      </c>
      <c r="E65" s="1573"/>
      <c r="F65" s="1574">
        <v>21530</v>
      </c>
      <c r="G65" s="1573">
        <v>16090</v>
      </c>
      <c r="H65" s="1573">
        <v>111838</v>
      </c>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517846</v>
      </c>
      <c r="D67" s="1594">
        <f t="shared" ref="D67:K67" si="2">SUM(D65:D66)</f>
        <v>52425</v>
      </c>
      <c r="E67" s="1594">
        <f t="shared" si="2"/>
        <v>0</v>
      </c>
      <c r="F67" s="1594">
        <f t="shared" si="2"/>
        <v>21530</v>
      </c>
      <c r="G67" s="1594">
        <f t="shared" si="2"/>
        <v>16090</v>
      </c>
      <c r="H67" s="1594">
        <f t="shared" si="2"/>
        <v>111838</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22550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22550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58088</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58088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368317</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368317</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14641</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6970</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6550</v>
      </c>
      <c r="D106" s="1598"/>
      <c r="E106" s="1574"/>
      <c r="F106" s="1574"/>
      <c r="G106" s="1574"/>
      <c r="H106" s="1574"/>
      <c r="I106" s="1617"/>
      <c r="J106" s="1574"/>
      <c r="K106" s="1574"/>
    </row>
    <row r="107" spans="1:12" ht="12.75" customHeight="1" x14ac:dyDescent="0.2">
      <c r="A107" s="427" t="s">
        <v>78</v>
      </c>
      <c r="B107" s="429">
        <v>1999</v>
      </c>
      <c r="C107" s="1632">
        <v>20169</v>
      </c>
      <c r="D107" s="1573"/>
      <c r="E107" s="1573"/>
      <c r="F107" s="1573"/>
      <c r="G107" s="1573"/>
      <c r="H107" s="1573"/>
      <c r="I107" s="1573"/>
      <c r="J107" s="1574"/>
      <c r="K107" s="1573"/>
    </row>
    <row r="108" spans="1:12" ht="12.75" customHeight="1" thickBot="1" x14ac:dyDescent="0.25">
      <c r="A108" s="1406" t="s">
        <v>484</v>
      </c>
      <c r="B108" s="1408"/>
      <c r="C108" s="1633">
        <f>SUM(C95:C107)</f>
        <v>33689</v>
      </c>
      <c r="D108" s="1633">
        <f t="shared" ref="D108:K108" si="3">SUM(D95:D107)</f>
        <v>14641</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45874104</v>
      </c>
      <c r="D109" s="1641">
        <f t="shared" si="4"/>
        <v>5553329</v>
      </c>
      <c r="E109" s="1641">
        <f t="shared" si="4"/>
        <v>6546</v>
      </c>
      <c r="F109" s="1641">
        <f t="shared" si="4"/>
        <v>1238594</v>
      </c>
      <c r="G109" s="1641">
        <f t="shared" si="4"/>
        <v>947964</v>
      </c>
      <c r="H109" s="1641">
        <f t="shared" si="4"/>
        <v>634291</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v>1824177</v>
      </c>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1824177</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22774</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22774</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19858</v>
      </c>
      <c r="G152" s="1574"/>
      <c r="H152" s="1575"/>
      <c r="I152" s="1575"/>
      <c r="J152" s="1575"/>
      <c r="K152" s="1575"/>
    </row>
    <row r="153" spans="1:11" ht="12.75" customHeight="1" x14ac:dyDescent="0.2">
      <c r="A153" s="427" t="s">
        <v>1048</v>
      </c>
      <c r="B153" s="478">
        <v>3510</v>
      </c>
      <c r="C153" s="1632"/>
      <c r="D153" s="1573"/>
      <c r="E153" s="1640"/>
      <c r="F153" s="1573">
        <v>227126</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246984</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f>2125+50000</f>
        <v>52125</v>
      </c>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74899</v>
      </c>
      <c r="D169" s="1658">
        <f t="shared" si="6"/>
        <v>0</v>
      </c>
      <c r="E169" s="1658">
        <f t="shared" si="6"/>
        <v>0</v>
      </c>
      <c r="F169" s="1658">
        <f t="shared" si="6"/>
        <v>246984</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74899</v>
      </c>
      <c r="D170" s="1641">
        <f t="shared" si="7"/>
        <v>0</v>
      </c>
      <c r="E170" s="1641">
        <f t="shared" si="7"/>
        <v>0</v>
      </c>
      <c r="F170" s="1641">
        <f t="shared" si="7"/>
        <v>246984</v>
      </c>
      <c r="G170" s="1641">
        <f t="shared" si="7"/>
        <v>0</v>
      </c>
      <c r="H170" s="1641">
        <f t="shared" si="7"/>
        <v>1824177</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1777</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v>12847</v>
      </c>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12847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59362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59362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30958</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615998</v>
      </c>
      <c r="D213" s="1573"/>
      <c r="E213" s="1575"/>
      <c r="F213" s="1573"/>
      <c r="G213" s="1573"/>
      <c r="H213" s="1575"/>
      <c r="I213" s="1575"/>
      <c r="J213" s="1575"/>
      <c r="K213" s="1575"/>
    </row>
    <row r="214" spans="1:11" ht="12.75" customHeight="1" x14ac:dyDescent="0.2">
      <c r="A214" s="427" t="s">
        <v>1045</v>
      </c>
      <c r="B214" s="429">
        <v>4625</v>
      </c>
      <c r="C214" s="1632">
        <v>120168</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767124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44522</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883855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883855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46832858</v>
      </c>
      <c r="D268" s="1641">
        <f t="shared" si="12"/>
        <v>5553329</v>
      </c>
      <c r="E268" s="1641">
        <f t="shared" si="12"/>
        <v>6546</v>
      </c>
      <c r="F268" s="1641">
        <f t="shared" si="12"/>
        <v>1485578</v>
      </c>
      <c r="G268" s="1641">
        <f t="shared" si="12"/>
        <v>947964</v>
      </c>
      <c r="H268" s="1641">
        <f t="shared" si="12"/>
        <v>2458468</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43" activePane="bottomLeft" state="frozen"/>
      <selection pane="bottomLeft" activeCell="D70" sqref="D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9450968+6908655</f>
        <v>16359623</v>
      </c>
      <c r="D5" s="1573">
        <f>1710192+990649</f>
        <v>2700841</v>
      </c>
      <c r="E5" s="1573">
        <f>111248+15466</f>
        <v>126714</v>
      </c>
      <c r="F5" s="1573">
        <f>735771+73154</f>
        <v>808925</v>
      </c>
      <c r="G5" s="1573"/>
      <c r="H5" s="1573"/>
      <c r="I5" s="1574"/>
      <c r="J5" s="1574"/>
      <c r="K5" s="1672">
        <f>SUM(C5:J5)</f>
        <v>19996103</v>
      </c>
      <c r="L5" s="1573">
        <v>20901898</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f>5239631</f>
        <v>5239631</v>
      </c>
      <c r="D8" s="1573">
        <f>1069215</f>
        <v>1069215</v>
      </c>
      <c r="E8" s="1573">
        <f>135452</f>
        <v>135452</v>
      </c>
      <c r="F8" s="1573">
        <f>93950+33614</f>
        <v>127564</v>
      </c>
      <c r="G8" s="1573">
        <f>30984</f>
        <v>30984</v>
      </c>
      <c r="H8" s="1573">
        <f>280453</f>
        <v>280453</v>
      </c>
      <c r="I8" s="1574"/>
      <c r="J8" s="1574"/>
      <c r="K8" s="1672">
        <f t="shared" si="0"/>
        <v>6883299</v>
      </c>
      <c r="L8" s="1573">
        <v>7377666</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f>501585</f>
        <v>501585</v>
      </c>
      <c r="D14" s="1573">
        <f>6634</f>
        <v>6634</v>
      </c>
      <c r="E14" s="1573">
        <f>13836</f>
        <v>13836</v>
      </c>
      <c r="F14" s="1573">
        <f>4084</f>
        <v>4084</v>
      </c>
      <c r="G14" s="1573"/>
      <c r="H14" s="1573"/>
      <c r="I14" s="1574"/>
      <c r="J14" s="1574"/>
      <c r="K14" s="1672">
        <f t="shared" si="0"/>
        <v>526139</v>
      </c>
      <c r="L14" s="1573">
        <v>395420</v>
      </c>
    </row>
    <row r="15" spans="1:14" x14ac:dyDescent="0.2">
      <c r="A15" s="1274" t="s">
        <v>958</v>
      </c>
      <c r="B15" s="503">
        <v>1600</v>
      </c>
      <c r="C15" s="1573">
        <v>93255</v>
      </c>
      <c r="D15" s="1573">
        <v>1308</v>
      </c>
      <c r="E15" s="1573"/>
      <c r="F15" s="1573"/>
      <c r="G15" s="1573"/>
      <c r="H15" s="1573"/>
      <c r="I15" s="1574"/>
      <c r="J15" s="1574"/>
      <c r="K15" s="1672">
        <f t="shared" si="0"/>
        <v>94563</v>
      </c>
      <c r="L15" s="1573">
        <v>16500</v>
      </c>
    </row>
    <row r="16" spans="1:14" x14ac:dyDescent="0.2">
      <c r="A16" s="1274" t="s">
        <v>980</v>
      </c>
      <c r="B16" s="503" t="s">
        <v>421</v>
      </c>
      <c r="C16" s="1573">
        <v>846894</v>
      </c>
      <c r="D16" s="1573">
        <v>144609</v>
      </c>
      <c r="E16" s="1573">
        <v>490</v>
      </c>
      <c r="F16" s="1573">
        <v>260</v>
      </c>
      <c r="G16" s="1573"/>
      <c r="H16" s="1573"/>
      <c r="I16" s="1574"/>
      <c r="J16" s="1574"/>
      <c r="K16" s="1672">
        <f t="shared" si="0"/>
        <v>992253</v>
      </c>
      <c r="L16" s="1573">
        <v>1061096</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23040988</v>
      </c>
      <c r="D33" s="1674">
        <f t="shared" ref="D33:L33" si="1">SUM(D5:D32)</f>
        <v>3922607</v>
      </c>
      <c r="E33" s="1674">
        <f t="shared" si="1"/>
        <v>276492</v>
      </c>
      <c r="F33" s="1674">
        <f t="shared" si="1"/>
        <v>940833</v>
      </c>
      <c r="G33" s="1674">
        <f t="shared" si="1"/>
        <v>30984</v>
      </c>
      <c r="H33" s="1674">
        <f t="shared" si="1"/>
        <v>280453</v>
      </c>
      <c r="I33" s="1674">
        <f t="shared" si="1"/>
        <v>0</v>
      </c>
      <c r="J33" s="1674">
        <f t="shared" si="1"/>
        <v>0</v>
      </c>
      <c r="K33" s="1674">
        <f t="shared" si="1"/>
        <v>28492357</v>
      </c>
      <c r="L33" s="1674">
        <f t="shared" si="1"/>
        <v>29752580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525699</v>
      </c>
      <c r="D36" s="1586">
        <v>83366</v>
      </c>
      <c r="E36" s="1586">
        <v>5489</v>
      </c>
      <c r="F36" s="1586"/>
      <c r="G36" s="1586"/>
      <c r="H36" s="1586"/>
      <c r="I36" s="1574"/>
      <c r="J36" s="1574"/>
      <c r="K36" s="1672">
        <f t="shared" ref="K36:K41" si="2">SUM(C36:J36)</f>
        <v>614554</v>
      </c>
      <c r="L36" s="1573">
        <v>692592</v>
      </c>
    </row>
    <row r="37" spans="1:14" x14ac:dyDescent="0.2">
      <c r="A37" s="1274" t="s">
        <v>1081</v>
      </c>
      <c r="B37" s="503">
        <v>2120</v>
      </c>
      <c r="C37" s="1573">
        <v>396853</v>
      </c>
      <c r="D37" s="1573">
        <v>82728</v>
      </c>
      <c r="E37" s="1573"/>
      <c r="F37" s="1573"/>
      <c r="G37" s="1573"/>
      <c r="H37" s="1573"/>
      <c r="I37" s="1574"/>
      <c r="J37" s="1574"/>
      <c r="K37" s="1672">
        <f t="shared" si="2"/>
        <v>479581</v>
      </c>
      <c r="L37" s="1573">
        <v>422357</v>
      </c>
    </row>
    <row r="38" spans="1:14" x14ac:dyDescent="0.2">
      <c r="A38" s="1274" t="s">
        <v>196</v>
      </c>
      <c r="B38" s="503">
        <v>2130</v>
      </c>
      <c r="C38" s="1573">
        <v>350280</v>
      </c>
      <c r="D38" s="1573">
        <v>75332</v>
      </c>
      <c r="E38" s="1573"/>
      <c r="F38" s="1573">
        <v>7193</v>
      </c>
      <c r="G38" s="1573"/>
      <c r="H38" s="1573"/>
      <c r="I38" s="1574"/>
      <c r="J38" s="1574"/>
      <c r="K38" s="1672">
        <f t="shared" si="2"/>
        <v>432805</v>
      </c>
      <c r="L38" s="1573">
        <v>430530</v>
      </c>
    </row>
    <row r="39" spans="1:14" x14ac:dyDescent="0.2">
      <c r="A39" s="1274" t="s">
        <v>197</v>
      </c>
      <c r="B39" s="503">
        <v>2140</v>
      </c>
      <c r="C39" s="1573">
        <v>79826</v>
      </c>
      <c r="D39" s="1573">
        <v>14541</v>
      </c>
      <c r="E39" s="1573">
        <v>21564</v>
      </c>
      <c r="F39" s="1573">
        <v>7660</v>
      </c>
      <c r="G39" s="1573"/>
      <c r="H39" s="1573"/>
      <c r="I39" s="1574"/>
      <c r="J39" s="1574"/>
      <c r="K39" s="1672">
        <f t="shared" si="2"/>
        <v>123591</v>
      </c>
      <c r="L39" s="1573">
        <v>107040</v>
      </c>
    </row>
    <row r="40" spans="1:14" x14ac:dyDescent="0.2">
      <c r="A40" s="1274" t="s">
        <v>198</v>
      </c>
      <c r="B40" s="503">
        <v>2150</v>
      </c>
      <c r="C40" s="1573">
        <v>889194</v>
      </c>
      <c r="D40" s="1573">
        <v>123542</v>
      </c>
      <c r="E40" s="1573"/>
      <c r="F40" s="1573">
        <v>6745</v>
      </c>
      <c r="G40" s="1573"/>
      <c r="H40" s="1573"/>
      <c r="I40" s="1574"/>
      <c r="J40" s="1574"/>
      <c r="K40" s="1672">
        <f t="shared" si="2"/>
        <v>1019481</v>
      </c>
      <c r="L40" s="1573">
        <v>1076824</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2241852</v>
      </c>
      <c r="D42" s="1674">
        <f t="shared" ref="D42:L42" si="3">SUM(D36:D41)</f>
        <v>379509</v>
      </c>
      <c r="E42" s="1674">
        <f t="shared" si="3"/>
        <v>27053</v>
      </c>
      <c r="F42" s="1674">
        <f t="shared" si="3"/>
        <v>21598</v>
      </c>
      <c r="G42" s="1674">
        <f t="shared" si="3"/>
        <v>0</v>
      </c>
      <c r="H42" s="1674">
        <f t="shared" si="3"/>
        <v>0</v>
      </c>
      <c r="I42" s="1674">
        <f t="shared" si="3"/>
        <v>0</v>
      </c>
      <c r="J42" s="1674">
        <f t="shared" si="3"/>
        <v>0</v>
      </c>
      <c r="K42" s="1674">
        <f t="shared" si="3"/>
        <v>2670012</v>
      </c>
      <c r="L42" s="1674">
        <f t="shared" si="3"/>
        <v>2729343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1277076</v>
      </c>
      <c r="D44" s="1586">
        <v>159886</v>
      </c>
      <c r="E44" s="1586">
        <v>264813</v>
      </c>
      <c r="F44" s="1586">
        <v>2671</v>
      </c>
      <c r="G44" s="1586"/>
      <c r="H44" s="1586"/>
      <c r="I44" s="1574"/>
      <c r="J44" s="1574"/>
      <c r="K44" s="1678">
        <f>SUM(C44:J44)</f>
        <v>1704446</v>
      </c>
      <c r="L44" s="1586">
        <v>1997136</v>
      </c>
    </row>
    <row r="45" spans="1:14" x14ac:dyDescent="0.2">
      <c r="A45" s="1274" t="s">
        <v>810</v>
      </c>
      <c r="B45" s="503">
        <v>2220</v>
      </c>
      <c r="C45" s="1573">
        <v>777663</v>
      </c>
      <c r="D45" s="1573">
        <v>162605</v>
      </c>
      <c r="E45" s="1573">
        <v>69</v>
      </c>
      <c r="F45" s="1573">
        <v>53947</v>
      </c>
      <c r="G45" s="1573"/>
      <c r="H45" s="1573"/>
      <c r="I45" s="1574"/>
      <c r="J45" s="1574"/>
      <c r="K45" s="1678">
        <f>SUM(C45:J45)</f>
        <v>994284</v>
      </c>
      <c r="L45" s="1573">
        <v>1006142</v>
      </c>
    </row>
    <row r="46" spans="1:14" x14ac:dyDescent="0.2">
      <c r="A46" s="1274" t="s">
        <v>811</v>
      </c>
      <c r="B46" s="503">
        <v>2230</v>
      </c>
      <c r="C46" s="1573">
        <v>400093</v>
      </c>
      <c r="D46" s="1573">
        <v>82728</v>
      </c>
      <c r="E46" s="1573">
        <f>40617+110710</f>
        <v>151327</v>
      </c>
      <c r="F46" s="1573">
        <v>294</v>
      </c>
      <c r="G46" s="1573"/>
      <c r="H46" s="1573"/>
      <c r="I46" s="1574"/>
      <c r="J46" s="1574"/>
      <c r="K46" s="1678">
        <f>SUM(C46:J46)</f>
        <v>634442</v>
      </c>
      <c r="L46" s="1573">
        <v>601379</v>
      </c>
    </row>
    <row r="47" spans="1:14" ht="12.75" customHeight="1" thickBot="1" x14ac:dyDescent="0.25">
      <c r="A47" s="1380" t="s">
        <v>557</v>
      </c>
      <c r="B47" s="1381" t="s">
        <v>32</v>
      </c>
      <c r="C47" s="1674">
        <f>SUM(C44:C46)</f>
        <v>2454832</v>
      </c>
      <c r="D47" s="1674">
        <f t="shared" ref="D47:K47" si="4">SUM(D44:D46)</f>
        <v>405219</v>
      </c>
      <c r="E47" s="1674">
        <f t="shared" si="4"/>
        <v>416209</v>
      </c>
      <c r="F47" s="1674">
        <f t="shared" si="4"/>
        <v>56912</v>
      </c>
      <c r="G47" s="1674">
        <f t="shared" si="4"/>
        <v>0</v>
      </c>
      <c r="H47" s="1674">
        <f t="shared" si="4"/>
        <v>0</v>
      </c>
      <c r="I47" s="1674">
        <f t="shared" si="4"/>
        <v>0</v>
      </c>
      <c r="J47" s="1674">
        <f t="shared" si="4"/>
        <v>0</v>
      </c>
      <c r="K47" s="1674">
        <f t="shared" si="4"/>
        <v>3333172</v>
      </c>
      <c r="L47" s="1674">
        <f>SUM(L44:L46)</f>
        <v>3604657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622353</v>
      </c>
      <c r="F49" s="1586"/>
      <c r="G49" s="1586"/>
      <c r="H49" s="1586"/>
      <c r="I49" s="1574"/>
      <c r="J49" s="1574"/>
      <c r="K49" s="1678">
        <f>SUM(C49:J49)</f>
        <v>622353</v>
      </c>
      <c r="L49" s="1586">
        <v>854075</v>
      </c>
    </row>
    <row r="50" spans="1:14" x14ac:dyDescent="0.2">
      <c r="A50" s="1274" t="s">
        <v>813</v>
      </c>
      <c r="B50" s="503">
        <v>2320</v>
      </c>
      <c r="C50" s="1573">
        <v>734554</v>
      </c>
      <c r="D50" s="1573">
        <v>157750</v>
      </c>
      <c r="E50" s="1573">
        <v>127145</v>
      </c>
      <c r="F50" s="1573">
        <v>16558</v>
      </c>
      <c r="G50" s="1573"/>
      <c r="H50" s="1573"/>
      <c r="I50" s="1574"/>
      <c r="J50" s="1574"/>
      <c r="K50" s="1678">
        <f>SUM(C50:J50)</f>
        <v>1036007</v>
      </c>
      <c r="L50" s="1573">
        <v>1052678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734554</v>
      </c>
      <c r="D53" s="1674">
        <f t="shared" ref="D53:L53" si="5">SUM(D49:D52)</f>
        <v>157750</v>
      </c>
      <c r="E53" s="1674">
        <f t="shared" si="5"/>
        <v>749498</v>
      </c>
      <c r="F53" s="1674">
        <f t="shared" si="5"/>
        <v>16558</v>
      </c>
      <c r="G53" s="1674">
        <f t="shared" si="5"/>
        <v>0</v>
      </c>
      <c r="H53" s="1674">
        <f t="shared" si="5"/>
        <v>0</v>
      </c>
      <c r="I53" s="1674">
        <f t="shared" si="5"/>
        <v>0</v>
      </c>
      <c r="J53" s="1674">
        <f t="shared" si="5"/>
        <v>0</v>
      </c>
      <c r="K53" s="1674">
        <f t="shared" si="5"/>
        <v>1658360</v>
      </c>
      <c r="L53" s="1674">
        <f t="shared" si="5"/>
        <v>1906753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f>103795+1769817</f>
        <v>1873612</v>
      </c>
      <c r="D55" s="1586">
        <v>468028</v>
      </c>
      <c r="E55" s="1586">
        <v>13881</v>
      </c>
      <c r="F55" s="1586">
        <v>4698</v>
      </c>
      <c r="G55" s="1586"/>
      <c r="H55" s="1586"/>
      <c r="I55" s="1574"/>
      <c r="J55" s="1574"/>
      <c r="K55" s="1678">
        <f>SUM(C55:J55)</f>
        <v>2360219</v>
      </c>
      <c r="L55" s="1586">
        <v>2209174</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1873612</v>
      </c>
      <c r="D57" s="1679">
        <f t="shared" ref="D57:K57" si="6">SUM(D55:D56)</f>
        <v>468028</v>
      </c>
      <c r="E57" s="1679">
        <f t="shared" si="6"/>
        <v>13881</v>
      </c>
      <c r="F57" s="1679">
        <f t="shared" si="6"/>
        <v>4698</v>
      </c>
      <c r="G57" s="1679">
        <f t="shared" si="6"/>
        <v>0</v>
      </c>
      <c r="H57" s="1679">
        <f t="shared" si="6"/>
        <v>0</v>
      </c>
      <c r="I57" s="1679">
        <f t="shared" si="6"/>
        <v>0</v>
      </c>
      <c r="J57" s="1679">
        <f t="shared" si="6"/>
        <v>0</v>
      </c>
      <c r="K57" s="1679">
        <f t="shared" si="6"/>
        <v>2360219</v>
      </c>
      <c r="L57" s="1674">
        <f>SUM(L55:L56)</f>
        <v>2209174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596221</v>
      </c>
      <c r="D59" s="1586">
        <v>86993</v>
      </c>
      <c r="E59" s="1586">
        <v>47996</v>
      </c>
      <c r="F59" s="1586">
        <v>3073</v>
      </c>
      <c r="G59" s="1586">
        <v>1067</v>
      </c>
      <c r="H59" s="1586"/>
      <c r="I59" s="1574"/>
      <c r="J59" s="1574"/>
      <c r="K59" s="1678">
        <f t="shared" ref="K59:K64" si="7">SUM(C59:J59)</f>
        <v>735350</v>
      </c>
      <c r="L59" s="1586">
        <v>696858</v>
      </c>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392423</v>
      </c>
      <c r="D63" s="1573">
        <v>933</v>
      </c>
      <c r="E63" s="1573"/>
      <c r="F63" s="1573">
        <v>38325</v>
      </c>
      <c r="G63" s="1573"/>
      <c r="H63" s="1573"/>
      <c r="I63" s="1574"/>
      <c r="J63" s="1574"/>
      <c r="K63" s="1678">
        <f t="shared" si="7"/>
        <v>431681</v>
      </c>
      <c r="L63" s="1573">
        <v>359949</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988644</v>
      </c>
      <c r="D65" s="1674">
        <f t="shared" ref="D65:L65" si="8">SUM(D59:D64)</f>
        <v>87926</v>
      </c>
      <c r="E65" s="1674">
        <f t="shared" si="8"/>
        <v>47996</v>
      </c>
      <c r="F65" s="1674">
        <f t="shared" si="8"/>
        <v>41398</v>
      </c>
      <c r="G65" s="1674">
        <f t="shared" si="8"/>
        <v>1067</v>
      </c>
      <c r="H65" s="1674">
        <f t="shared" si="8"/>
        <v>0</v>
      </c>
      <c r="I65" s="1674">
        <f t="shared" si="8"/>
        <v>0</v>
      </c>
      <c r="J65" s="1674">
        <f t="shared" si="8"/>
        <v>0</v>
      </c>
      <c r="K65" s="1674">
        <f t="shared" si="8"/>
        <v>1167031</v>
      </c>
      <c r="L65" s="1674">
        <f t="shared" si="8"/>
        <v>1056807</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v>1325434</v>
      </c>
      <c r="F69" s="1573">
        <v>154168</v>
      </c>
      <c r="G69" s="1573">
        <v>543955</v>
      </c>
      <c r="H69" s="1573"/>
      <c r="I69" s="1574"/>
      <c r="J69" s="1574"/>
      <c r="K69" s="1678">
        <f>SUM(C69:J69)</f>
        <v>2023557</v>
      </c>
      <c r="L69" s="1573">
        <v>2694128</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v>17940</v>
      </c>
      <c r="F71" s="1573"/>
      <c r="G71" s="1573"/>
      <c r="H71" s="1573"/>
      <c r="I71" s="1574"/>
      <c r="J71" s="1574"/>
      <c r="K71" s="1678">
        <f>SUM(C71:J71)</f>
        <v>17940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1343374</v>
      </c>
      <c r="F72" s="1674">
        <f t="shared" si="9"/>
        <v>154168</v>
      </c>
      <c r="G72" s="1674">
        <f t="shared" si="9"/>
        <v>543955</v>
      </c>
      <c r="H72" s="1674">
        <f t="shared" si="9"/>
        <v>0</v>
      </c>
      <c r="I72" s="1674">
        <f t="shared" si="9"/>
        <v>0</v>
      </c>
      <c r="J72" s="1674">
        <f t="shared" si="9"/>
        <v>0</v>
      </c>
      <c r="K72" s="1674">
        <f t="shared" si="9"/>
        <v>2041497</v>
      </c>
      <c r="L72" s="1674">
        <f>SUM(L67:L71)</f>
        <v>2694128</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8293494</v>
      </c>
      <c r="D74" s="1681">
        <f t="shared" ref="D74:K74" si="10">SUM(D42,D47,D53,D57,D65,D72,D73)</f>
        <v>1498432</v>
      </c>
      <c r="E74" s="1681">
        <f t="shared" si="10"/>
        <v>2598011</v>
      </c>
      <c r="F74" s="1681">
        <f t="shared" si="10"/>
        <v>295332</v>
      </c>
      <c r="G74" s="1681">
        <f t="shared" si="10"/>
        <v>545022</v>
      </c>
      <c r="H74" s="1681">
        <f t="shared" si="10"/>
        <v>0</v>
      </c>
      <c r="I74" s="1681">
        <f t="shared" si="10"/>
        <v>0</v>
      </c>
      <c r="J74" s="1681">
        <f t="shared" si="10"/>
        <v>0</v>
      </c>
      <c r="K74" s="1681">
        <f t="shared" si="10"/>
        <v>13230291</v>
      </c>
      <c r="L74" s="1681">
        <f>SUM(L42,L47,L53,L57,L65,L72,L73)</f>
        <v>14200862</v>
      </c>
    </row>
    <row r="75" spans="1:14" s="254" customFormat="1" ht="15.75" customHeight="1" thickTop="1" thickBot="1" x14ac:dyDescent="0.25">
      <c r="A75" s="1348" t="s">
        <v>47</v>
      </c>
      <c r="B75" s="1349" t="s">
        <v>571</v>
      </c>
      <c r="C75" s="1649">
        <v>139317</v>
      </c>
      <c r="D75" s="1649">
        <v>21291</v>
      </c>
      <c r="E75" s="1649">
        <v>1394</v>
      </c>
      <c r="F75" s="1649"/>
      <c r="G75" s="1649"/>
      <c r="H75" s="1649"/>
      <c r="I75" s="1627"/>
      <c r="J75" s="1627"/>
      <c r="K75" s="1674">
        <f>SUM(C75:J75)</f>
        <v>162002</v>
      </c>
      <c r="L75" s="1651">
        <v>162157</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313543</v>
      </c>
      <c r="F79" s="1673"/>
      <c r="G79" s="1673"/>
      <c r="H79" s="1573">
        <v>128311</v>
      </c>
      <c r="I79" s="1582"/>
      <c r="J79" s="1582"/>
      <c r="K79" s="1672">
        <f t="shared" si="11"/>
        <v>441854</v>
      </c>
      <c r="L79" s="1573">
        <v>613000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313543</v>
      </c>
      <c r="F84" s="1673"/>
      <c r="G84" s="1673"/>
      <c r="H84" s="1674">
        <f>SUM(H78:H83)</f>
        <v>128311</v>
      </c>
      <c r="I84" s="1582"/>
      <c r="J84" s="1582"/>
      <c r="K84" s="1674">
        <f>SUM(K78:K83)</f>
        <v>441854</v>
      </c>
      <c r="L84" s="1674">
        <f>SUM(L78:L83)</f>
        <v>613000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313543</v>
      </c>
      <c r="F102" s="1673"/>
      <c r="G102" s="1673"/>
      <c r="H102" s="1681">
        <f>SUM(H84,H92,H100,H101)</f>
        <v>128311</v>
      </c>
      <c r="I102" s="1582"/>
      <c r="J102" s="1582"/>
      <c r="K102" s="1681">
        <f>SUM(K84,K92,K100,K101)</f>
        <v>441854</v>
      </c>
      <c r="L102" s="1681">
        <f>SUM(L84,L92,L100,L101)</f>
        <v>613000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31473799</v>
      </c>
      <c r="D114" s="1674">
        <f t="shared" ref="D114:K114" si="13">SUM(D33,D74,D75,D102,D112,D113)</f>
        <v>5442330</v>
      </c>
      <c r="E114" s="1674">
        <f t="shared" si="13"/>
        <v>3189440</v>
      </c>
      <c r="F114" s="1674">
        <f t="shared" si="13"/>
        <v>1236165</v>
      </c>
      <c r="G114" s="1674">
        <f t="shared" si="13"/>
        <v>576006</v>
      </c>
      <c r="H114" s="1674">
        <f>SUM(H33,H74,H75,H102,H112,H113)</f>
        <v>408764</v>
      </c>
      <c r="I114" s="1674">
        <f t="shared" si="13"/>
        <v>0</v>
      </c>
      <c r="J114" s="1674">
        <f t="shared" si="13"/>
        <v>0</v>
      </c>
      <c r="K114" s="1674">
        <f t="shared" si="13"/>
        <v>42326504</v>
      </c>
      <c r="L114" s="1674">
        <f>SUM(L33,L74,L75,L102,L112,L113)</f>
        <v>44728599</v>
      </c>
    </row>
    <row r="115" spans="1:14" ht="13.5" thickTop="1" x14ac:dyDescent="0.2">
      <c r="A115" s="2288" t="s">
        <v>989</v>
      </c>
      <c r="B115" s="2289"/>
      <c r="C115" s="1675"/>
      <c r="D115" s="1675"/>
      <c r="E115" s="1675"/>
      <c r="F115" s="1675"/>
      <c r="G115" s="1675"/>
      <c r="H115" s="1675"/>
      <c r="I115" s="1675"/>
      <c r="J115" s="1675"/>
      <c r="K115" s="1689">
        <f>'Revenues 9-14'!C268-'Expenditures 15-22'!K114</f>
        <v>4506354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570298</v>
      </c>
      <c r="D124" s="1573">
        <v>99684</v>
      </c>
      <c r="E124" s="1573">
        <v>1651844</v>
      </c>
      <c r="F124" s="1573">
        <v>754596</v>
      </c>
      <c r="G124" s="1573">
        <v>2974727</v>
      </c>
      <c r="H124" s="1573">
        <v>2000</v>
      </c>
      <c r="I124" s="1574"/>
      <c r="J124" s="1574"/>
      <c r="K124" s="1674">
        <f>SUM(C124:J124)</f>
        <v>6053149</v>
      </c>
      <c r="L124" s="1573">
        <v>6060964</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570298</v>
      </c>
      <c r="D127" s="1674">
        <f t="shared" ref="D127:L127" si="14">SUM(D122:D126)</f>
        <v>99684</v>
      </c>
      <c r="E127" s="1674">
        <f t="shared" si="14"/>
        <v>1651844</v>
      </c>
      <c r="F127" s="1674">
        <f t="shared" si="14"/>
        <v>754596</v>
      </c>
      <c r="G127" s="1674">
        <f t="shared" si="14"/>
        <v>2974727</v>
      </c>
      <c r="H127" s="1674">
        <f t="shared" si="14"/>
        <v>2000</v>
      </c>
      <c r="I127" s="1674">
        <f t="shared" si="14"/>
        <v>0</v>
      </c>
      <c r="J127" s="1674">
        <f t="shared" si="14"/>
        <v>0</v>
      </c>
      <c r="K127" s="1674">
        <f t="shared" si="14"/>
        <v>6053149</v>
      </c>
      <c r="L127" s="1674">
        <f t="shared" si="14"/>
        <v>6060964</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570298</v>
      </c>
      <c r="D129" s="1681">
        <f t="shared" ref="D129:L129" si="15">SUM(D120,D127,D128)</f>
        <v>99684</v>
      </c>
      <c r="E129" s="1681">
        <f t="shared" si="15"/>
        <v>1651844</v>
      </c>
      <c r="F129" s="1681">
        <f t="shared" si="15"/>
        <v>754596</v>
      </c>
      <c r="G129" s="1681">
        <f t="shared" si="15"/>
        <v>2974727</v>
      </c>
      <c r="H129" s="1681">
        <f t="shared" si="15"/>
        <v>2000</v>
      </c>
      <c r="I129" s="1681">
        <f t="shared" si="15"/>
        <v>0</v>
      </c>
      <c r="J129" s="1681">
        <f t="shared" si="15"/>
        <v>0</v>
      </c>
      <c r="K129" s="1681">
        <f t="shared" si="15"/>
        <v>6053149</v>
      </c>
      <c r="L129" s="1681">
        <f t="shared" si="15"/>
        <v>6060964</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60"/>
      <c r="C151" s="1674">
        <f>SUM(C129,C130,C139,C149,C150)</f>
        <v>570298</v>
      </c>
      <c r="D151" s="1674">
        <f t="shared" ref="D151:K151" si="16">SUM(D129,D130,D139,D149,D150)</f>
        <v>99684</v>
      </c>
      <c r="E151" s="1674">
        <f t="shared" si="16"/>
        <v>1651844</v>
      </c>
      <c r="F151" s="1674">
        <f t="shared" si="16"/>
        <v>754596</v>
      </c>
      <c r="G151" s="1674">
        <f t="shared" si="16"/>
        <v>2974727</v>
      </c>
      <c r="H151" s="1674">
        <f t="shared" si="16"/>
        <v>2000</v>
      </c>
      <c r="I151" s="1674">
        <f t="shared" si="16"/>
        <v>0</v>
      </c>
      <c r="J151" s="1674">
        <f t="shared" si="16"/>
        <v>0</v>
      </c>
      <c r="K151" s="1674">
        <f t="shared" si="16"/>
        <v>6053149</v>
      </c>
      <c r="L151" s="1674">
        <f>SUM(L129,L130,L139,L149,L150)</f>
        <v>6060964</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-499820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f>692447+35830</f>
        <v>728277</v>
      </c>
      <c r="I169" s="1673"/>
      <c r="J169" s="1673"/>
      <c r="K169" s="1672">
        <f>SUM(C169:H169)</f>
        <v>728277</v>
      </c>
      <c r="L169" s="1695">
        <v>654023</v>
      </c>
    </row>
    <row r="170" spans="1:14" ht="33.75" customHeight="1" x14ac:dyDescent="0.2">
      <c r="A170" s="543" t="s">
        <v>1651</v>
      </c>
      <c r="B170" s="545" t="s">
        <v>31</v>
      </c>
      <c r="C170" s="1673"/>
      <c r="D170" s="1673"/>
      <c r="E170" s="1673"/>
      <c r="F170" s="1673"/>
      <c r="G170" s="1673"/>
      <c r="H170" s="1646"/>
      <c r="I170" s="1673"/>
      <c r="J170" s="1673"/>
      <c r="K170" s="1672">
        <f>SUM(C170:J170)</f>
        <v>0</v>
      </c>
      <c r="L170" s="1646">
        <v>825000</v>
      </c>
    </row>
    <row r="171" spans="1:14" ht="15.75" customHeight="1" x14ac:dyDescent="0.2">
      <c r="A171" s="507" t="s">
        <v>761</v>
      </c>
      <c r="B171" s="546" t="s">
        <v>84</v>
      </c>
      <c r="C171" s="1673"/>
      <c r="D171" s="1673"/>
      <c r="E171" s="1573"/>
      <c r="F171" s="1673"/>
      <c r="G171" s="1673"/>
      <c r="H171" s="1646">
        <v>12420</v>
      </c>
      <c r="I171" s="1582"/>
      <c r="J171" s="1673"/>
      <c r="K171" s="1672">
        <f>SUM(C171:J171)</f>
        <v>12420</v>
      </c>
      <c r="L171" s="1646">
        <v>5000</v>
      </c>
    </row>
    <row r="172" spans="1:14" ht="12.75" customHeight="1" thickBot="1" x14ac:dyDescent="0.25">
      <c r="A172" s="1380" t="s">
        <v>633</v>
      </c>
      <c r="B172" s="1381" t="s">
        <v>489</v>
      </c>
      <c r="C172" s="1673"/>
      <c r="D172" s="1673"/>
      <c r="E172" s="1681">
        <f>SUM(E168,E169,E170,E171)</f>
        <v>0</v>
      </c>
      <c r="F172" s="1673"/>
      <c r="G172" s="1673"/>
      <c r="H172" s="1681">
        <f>SUM(H168,H169,H170,H171)</f>
        <v>740697</v>
      </c>
      <c r="I172" s="1684"/>
      <c r="J172" s="1673"/>
      <c r="K172" s="1681">
        <f>SUM(K168,K169,K170,K171)</f>
        <v>740697</v>
      </c>
      <c r="L172" s="1681">
        <f>SUM(L168,L169,L170,L171)</f>
        <v>1484023</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740697</v>
      </c>
      <c r="I174" s="1684"/>
      <c r="J174" s="1673"/>
      <c r="K174" s="1681">
        <f>SUM(K160,K172,K173)</f>
        <v>740697</v>
      </c>
      <c r="L174" s="1681">
        <f>SUM(L160,L172,L173)</f>
        <v>1484023</v>
      </c>
    </row>
    <row r="175" spans="1:14" ht="13.5" thickTop="1" x14ac:dyDescent="0.2">
      <c r="A175" s="2288" t="s">
        <v>989</v>
      </c>
      <c r="B175" s="2289"/>
      <c r="C175" s="1673"/>
      <c r="D175" s="1673"/>
      <c r="E175" s="1673"/>
      <c r="F175" s="1673"/>
      <c r="G175" s="1673"/>
      <c r="H175" s="1675"/>
      <c r="I175" s="1673"/>
      <c r="J175" s="1673"/>
      <c r="K175" s="1689">
        <f>'Revenues 9-14'!E268-'Expenditures 15-22'!K174</f>
        <v>-734151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55841</v>
      </c>
      <c r="D182" s="1573">
        <v>3139</v>
      </c>
      <c r="E182" s="1573">
        <v>1341766</v>
      </c>
      <c r="F182" s="1573"/>
      <c r="G182" s="1573"/>
      <c r="H182" s="1573"/>
      <c r="I182" s="1574"/>
      <c r="J182" s="1574"/>
      <c r="K182" s="1672">
        <f>SUM(C182:J182)</f>
        <v>1400746</v>
      </c>
      <c r="L182" s="1573">
        <v>1607323</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55841</v>
      </c>
      <c r="D184" s="1681">
        <f t="shared" ref="D184:J184" si="17">SUM(D180,D182,D183)</f>
        <v>3139</v>
      </c>
      <c r="E184" s="1681">
        <f t="shared" si="17"/>
        <v>1341766</v>
      </c>
      <c r="F184" s="1681">
        <f t="shared" si="17"/>
        <v>0</v>
      </c>
      <c r="G184" s="1681">
        <f t="shared" si="17"/>
        <v>0</v>
      </c>
      <c r="H184" s="1681">
        <f t="shared" si="17"/>
        <v>0</v>
      </c>
      <c r="I184" s="1681">
        <f t="shared" si="17"/>
        <v>0</v>
      </c>
      <c r="J184" s="1681">
        <f t="shared" si="17"/>
        <v>0</v>
      </c>
      <c r="K184" s="1681">
        <f>SUM(K180,K182,K183)</f>
        <v>1400746</v>
      </c>
      <c r="L184" s="1681">
        <f>SUM(L180, L182:L183)</f>
        <v>1607323</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55841</v>
      </c>
      <c r="D210" s="1674">
        <f>SUM(D184,D185)</f>
        <v>3139</v>
      </c>
      <c r="E210" s="1674">
        <f>SUM(E184,E185,E196)</f>
        <v>1341766</v>
      </c>
      <c r="F210" s="1674">
        <f>SUM(F184,F185)</f>
        <v>0</v>
      </c>
      <c r="G210" s="1674">
        <f>SUM(G184,G185)</f>
        <v>0</v>
      </c>
      <c r="H210" s="1674">
        <f>SUM(H184,H185,H196,H208,H209)</f>
        <v>0</v>
      </c>
      <c r="I210" s="1674">
        <f>SUM(I184,I185)</f>
        <v>0</v>
      </c>
      <c r="J210" s="1674">
        <f>SUM(J184,J185)</f>
        <v>0</v>
      </c>
      <c r="K210" s="1672">
        <f>SUM(K184,K185,K196,K208,K209)</f>
        <v>1400746</v>
      </c>
      <c r="L210" s="1674">
        <f>SUM(L184,L185,L196,L208,L209)</f>
        <v>1607323</v>
      </c>
    </row>
    <row r="211" spans="1:14" ht="13.5" thickTop="1" x14ac:dyDescent="0.2">
      <c r="A211" s="2288" t="s">
        <v>989</v>
      </c>
      <c r="B211" s="2289"/>
      <c r="C211" s="1675"/>
      <c r="D211" s="1675"/>
      <c r="E211" s="1675"/>
      <c r="F211" s="1675"/>
      <c r="G211" s="1675"/>
      <c r="H211" s="1675"/>
      <c r="I211" s="1673"/>
      <c r="J211" s="1673"/>
      <c r="K211" s="1689">
        <f>'Revenues 9-14'!F268-'Expenditures 15-22'!K210</f>
        <v>84832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246868</v>
      </c>
      <c r="E215" s="1673"/>
      <c r="F215" s="1673"/>
      <c r="G215" s="1673"/>
      <c r="H215" s="1673"/>
      <c r="I215" s="1673"/>
      <c r="J215" s="1673"/>
      <c r="K215" s="1672">
        <f>D215</f>
        <v>246868</v>
      </c>
      <c r="L215" s="1573">
        <v>804597</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327700</v>
      </c>
      <c r="E217" s="1673"/>
      <c r="F217" s="1673"/>
      <c r="G217" s="1673"/>
      <c r="H217" s="1673"/>
      <c r="I217" s="1673"/>
      <c r="J217" s="1673"/>
      <c r="K217" s="1672">
        <f t="shared" si="19"/>
        <v>327700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f>13418+1083</f>
        <v>14501</v>
      </c>
      <c r="E223" s="1673"/>
      <c r="F223" s="1673"/>
      <c r="G223" s="1673"/>
      <c r="H223" s="1673"/>
      <c r="I223" s="1673"/>
      <c r="J223" s="1673"/>
      <c r="K223" s="1672">
        <f t="shared" si="19"/>
        <v>14501</v>
      </c>
      <c r="L223" s="1573"/>
    </row>
    <row r="224" spans="1:14" x14ac:dyDescent="0.2">
      <c r="A224" s="1274" t="s">
        <v>958</v>
      </c>
      <c r="B224" s="503">
        <v>1600</v>
      </c>
      <c r="C224" s="1673"/>
      <c r="D224" s="1573">
        <v>6398</v>
      </c>
      <c r="E224" s="1673"/>
      <c r="F224" s="1673"/>
      <c r="G224" s="1673"/>
      <c r="H224" s="1673"/>
      <c r="I224" s="1673"/>
      <c r="J224" s="1673"/>
      <c r="K224" s="1672">
        <f t="shared" si="19"/>
        <v>6398</v>
      </c>
      <c r="L224" s="1573"/>
    </row>
    <row r="225" spans="1:12" x14ac:dyDescent="0.2">
      <c r="A225" s="1274" t="s">
        <v>980</v>
      </c>
      <c r="B225" s="503">
        <v>1650</v>
      </c>
      <c r="C225" s="1673"/>
      <c r="D225" s="1573">
        <v>11676</v>
      </c>
      <c r="E225" s="1673"/>
      <c r="F225" s="1673"/>
      <c r="G225" s="1673"/>
      <c r="H225" s="1673"/>
      <c r="I225" s="1673"/>
      <c r="J225" s="1673"/>
      <c r="K225" s="1672">
        <f t="shared" si="19"/>
        <v>11676</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607143</v>
      </c>
      <c r="E229" s="1673"/>
      <c r="F229" s="1673"/>
      <c r="G229" s="1673"/>
      <c r="H229" s="1673"/>
      <c r="I229" s="1673"/>
      <c r="J229" s="1673"/>
      <c r="K229" s="1674">
        <f>SUM(K215:K228)</f>
        <v>607143</v>
      </c>
      <c r="L229" s="1674">
        <f>SUM(L215:L228)</f>
        <v>804597</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7216</v>
      </c>
      <c r="E232" s="1673"/>
      <c r="F232" s="1673"/>
      <c r="G232" s="1673"/>
      <c r="H232" s="1673"/>
      <c r="I232" s="1673"/>
      <c r="J232" s="1673"/>
      <c r="K232" s="1672">
        <f t="shared" ref="K232:K237" si="20">D232</f>
        <v>7216</v>
      </c>
      <c r="L232" s="1573">
        <v>495620</v>
      </c>
    </row>
    <row r="233" spans="1:12" x14ac:dyDescent="0.2">
      <c r="A233" s="1274" t="s">
        <v>1081</v>
      </c>
      <c r="B233" s="503">
        <v>2120</v>
      </c>
      <c r="C233" s="1673"/>
      <c r="D233" s="1573">
        <v>5623</v>
      </c>
      <c r="E233" s="1673"/>
      <c r="F233" s="1673"/>
      <c r="G233" s="1673"/>
      <c r="H233" s="1673"/>
      <c r="I233" s="1673"/>
      <c r="J233" s="1673"/>
      <c r="K233" s="1672">
        <f t="shared" si="20"/>
        <v>5623</v>
      </c>
      <c r="L233" s="1573"/>
    </row>
    <row r="234" spans="1:12" x14ac:dyDescent="0.2">
      <c r="A234" s="1274" t="s">
        <v>196</v>
      </c>
      <c r="B234" s="503">
        <v>2130</v>
      </c>
      <c r="C234" s="1673"/>
      <c r="D234" s="1573">
        <v>44841</v>
      </c>
      <c r="E234" s="1673"/>
      <c r="F234" s="1673"/>
      <c r="G234" s="1673"/>
      <c r="H234" s="1673"/>
      <c r="I234" s="1673"/>
      <c r="J234" s="1673"/>
      <c r="K234" s="1672">
        <f t="shared" si="20"/>
        <v>44841</v>
      </c>
      <c r="L234" s="1573"/>
    </row>
    <row r="235" spans="1:12" x14ac:dyDescent="0.2">
      <c r="A235" s="1274" t="s">
        <v>197</v>
      </c>
      <c r="B235" s="503">
        <v>2140</v>
      </c>
      <c r="C235" s="1673"/>
      <c r="D235" s="1573">
        <v>1118</v>
      </c>
      <c r="E235" s="1673"/>
      <c r="F235" s="1673"/>
      <c r="G235" s="1673"/>
      <c r="H235" s="1673"/>
      <c r="I235" s="1673"/>
      <c r="J235" s="1673"/>
      <c r="K235" s="1672">
        <f t="shared" si="20"/>
        <v>1118</v>
      </c>
      <c r="L235" s="1573"/>
    </row>
    <row r="236" spans="1:12" x14ac:dyDescent="0.2">
      <c r="A236" s="1274" t="s">
        <v>198</v>
      </c>
      <c r="B236" s="503">
        <v>2150</v>
      </c>
      <c r="C236" s="1673"/>
      <c r="D236" s="1573">
        <v>12594</v>
      </c>
      <c r="E236" s="1673"/>
      <c r="F236" s="1673"/>
      <c r="G236" s="1673"/>
      <c r="H236" s="1673"/>
      <c r="I236" s="1673"/>
      <c r="J236" s="1673"/>
      <c r="K236" s="1672">
        <f t="shared" si="20"/>
        <v>12594</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71392</v>
      </c>
      <c r="E238" s="1673"/>
      <c r="F238" s="1673"/>
      <c r="G238" s="1673"/>
      <c r="H238" s="1673"/>
      <c r="I238" s="1673"/>
      <c r="J238" s="1673"/>
      <c r="K238" s="1674">
        <f>SUM(K232:K237)</f>
        <v>71392</v>
      </c>
      <c r="L238" s="1674">
        <f>SUM(L232:L237)</f>
        <v>495620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18508</v>
      </c>
      <c r="E240" s="1673"/>
      <c r="F240" s="1673"/>
      <c r="G240" s="1673"/>
      <c r="H240" s="1673"/>
      <c r="I240" s="1673"/>
      <c r="J240" s="1673"/>
      <c r="K240" s="1678">
        <f>D240</f>
        <v>18508</v>
      </c>
      <c r="L240" s="1586"/>
    </row>
    <row r="241" spans="1:12" x14ac:dyDescent="0.2">
      <c r="A241" s="1274" t="s">
        <v>810</v>
      </c>
      <c r="B241" s="503">
        <v>2220</v>
      </c>
      <c r="C241" s="1673"/>
      <c r="D241" s="1573">
        <v>40347</v>
      </c>
      <c r="E241" s="1673"/>
      <c r="F241" s="1673"/>
      <c r="G241" s="1673"/>
      <c r="H241" s="1673"/>
      <c r="I241" s="1673"/>
      <c r="J241" s="1673"/>
      <c r="K241" s="1678">
        <f>D241</f>
        <v>40347</v>
      </c>
      <c r="L241" s="1573"/>
    </row>
    <row r="242" spans="1:12" x14ac:dyDescent="0.2">
      <c r="A242" s="1274" t="s">
        <v>811</v>
      </c>
      <c r="B242" s="503">
        <v>2230</v>
      </c>
      <c r="C242" s="1673"/>
      <c r="D242" s="1573">
        <v>39054</v>
      </c>
      <c r="E242" s="1673"/>
      <c r="F242" s="1673"/>
      <c r="G242" s="1673"/>
      <c r="H242" s="1673"/>
      <c r="I242" s="1673"/>
      <c r="J242" s="1673"/>
      <c r="K242" s="1678">
        <f>D242</f>
        <v>39054</v>
      </c>
      <c r="L242" s="1573"/>
    </row>
    <row r="243" spans="1:12" ht="12.75" customHeight="1" thickBot="1" x14ac:dyDescent="0.25">
      <c r="A243" s="1396" t="s">
        <v>557</v>
      </c>
      <c r="B243" s="1397">
        <v>2200</v>
      </c>
      <c r="C243" s="1673"/>
      <c r="D243" s="1674">
        <f>SUM(D240:D242)</f>
        <v>97909</v>
      </c>
      <c r="E243" s="1673"/>
      <c r="F243" s="1673"/>
      <c r="G243" s="1673"/>
      <c r="H243" s="1673"/>
      <c r="I243" s="1673"/>
      <c r="J243" s="1673"/>
      <c r="K243" s="1674">
        <f>SUM(K240:K242)</f>
        <v>97909</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40307</v>
      </c>
      <c r="E246" s="1673"/>
      <c r="F246" s="1673"/>
      <c r="G246" s="1673"/>
      <c r="H246" s="1673"/>
      <c r="I246" s="1673"/>
      <c r="J246" s="1673"/>
      <c r="K246" s="1678">
        <f t="shared" ref="K246:K256" si="21">D246</f>
        <v>40307</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40307</v>
      </c>
      <c r="E257" s="1673"/>
      <c r="F257" s="1673"/>
      <c r="G257" s="1673"/>
      <c r="H257" s="1673"/>
      <c r="I257" s="1673"/>
      <c r="J257" s="1673"/>
      <c r="K257" s="1674">
        <f>SUM(K245:K256)</f>
        <v>40307</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122526</v>
      </c>
      <c r="E259" s="1673"/>
      <c r="F259" s="1673"/>
      <c r="G259" s="1673"/>
      <c r="H259" s="1673"/>
      <c r="I259" s="1673"/>
      <c r="J259" s="1673"/>
      <c r="K259" s="1678">
        <f>D259</f>
        <v>122526</v>
      </c>
      <c r="L259" s="1586"/>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122526</v>
      </c>
      <c r="E261" s="1673"/>
      <c r="F261" s="1673"/>
      <c r="G261" s="1673"/>
      <c r="H261" s="1673"/>
      <c r="I261" s="1673"/>
      <c r="J261" s="1673"/>
      <c r="K261" s="1674">
        <f>SUM(K259:K260)</f>
        <v>122526</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34972</v>
      </c>
      <c r="E263" s="1673"/>
      <c r="F263" s="1673"/>
      <c r="G263" s="1673"/>
      <c r="H263" s="1673"/>
      <c r="I263" s="1673"/>
      <c r="J263" s="1673"/>
      <c r="K263" s="1678">
        <f>D263</f>
        <v>34972</v>
      </c>
      <c r="L263" s="1586"/>
    </row>
    <row r="264" spans="1:14" x14ac:dyDescent="0.2">
      <c r="A264" s="1274" t="s">
        <v>460</v>
      </c>
      <c r="B264" s="559">
        <v>2520</v>
      </c>
      <c r="C264" s="1673"/>
      <c r="D264" s="1573">
        <v>91146</v>
      </c>
      <c r="E264" s="1673"/>
      <c r="F264" s="1673"/>
      <c r="G264" s="1673"/>
      <c r="H264" s="1673"/>
      <c r="I264" s="1673"/>
      <c r="J264" s="1673"/>
      <c r="K264" s="1678">
        <f t="shared" ref="K264:K269" si="22">D264</f>
        <v>91146</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v>7039</v>
      </c>
      <c r="E267" s="1673"/>
      <c r="F267" s="1673"/>
      <c r="G267" s="1673"/>
      <c r="H267" s="1673"/>
      <c r="I267" s="1673"/>
      <c r="J267" s="1673"/>
      <c r="K267" s="1678">
        <f t="shared" si="22"/>
        <v>7039</v>
      </c>
      <c r="L267" s="1573"/>
    </row>
    <row r="268" spans="1:14" x14ac:dyDescent="0.2">
      <c r="A268" s="1274" t="s">
        <v>100</v>
      </c>
      <c r="B268" s="503">
        <v>2560</v>
      </c>
      <c r="C268" s="1673"/>
      <c r="D268" s="1573">
        <v>37598</v>
      </c>
      <c r="E268" s="1673"/>
      <c r="F268" s="1673"/>
      <c r="G268" s="1673"/>
      <c r="H268" s="1673"/>
      <c r="I268" s="1673"/>
      <c r="J268" s="1673"/>
      <c r="K268" s="1678">
        <f t="shared" si="22"/>
        <v>37598</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170755</v>
      </c>
      <c r="E270" s="1673"/>
      <c r="F270" s="1673"/>
      <c r="G270" s="1673"/>
      <c r="H270" s="1673"/>
      <c r="I270" s="1673"/>
      <c r="J270" s="1673"/>
      <c r="K270" s="1674">
        <f>SUM(K263:K269)</f>
        <v>170755</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502889</v>
      </c>
      <c r="E279" s="1673"/>
      <c r="F279" s="1673"/>
      <c r="G279" s="1673"/>
      <c r="H279" s="1673"/>
      <c r="I279" s="1673"/>
      <c r="J279" s="1673"/>
      <c r="K279" s="1681">
        <f>SUM(K238,K243,K257,K261,K270,K277,K278)</f>
        <v>502889</v>
      </c>
      <c r="L279" s="1681">
        <f>SUM(L238,L243,L257,L261,L270,L277,L278)</f>
        <v>495620</v>
      </c>
    </row>
    <row r="280" spans="1:12" ht="15.75" customHeight="1" thickTop="1" thickBot="1" x14ac:dyDescent="0.25">
      <c r="A280" s="1362" t="s">
        <v>870</v>
      </c>
      <c r="B280" s="1351">
        <v>3000</v>
      </c>
      <c r="C280" s="1673"/>
      <c r="D280" s="1651">
        <v>21156</v>
      </c>
      <c r="E280" s="1673"/>
      <c r="F280" s="1673"/>
      <c r="G280" s="1673"/>
      <c r="H280" s="1673"/>
      <c r="I280" s="1673"/>
      <c r="J280" s="1673"/>
      <c r="K280" s="1687">
        <f>D280</f>
        <v>21156</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1131188</v>
      </c>
      <c r="E295" s="1673"/>
      <c r="F295" s="1673"/>
      <c r="G295" s="1673"/>
      <c r="H295" s="1674">
        <f>H293</f>
        <v>0</v>
      </c>
      <c r="I295" s="1673"/>
      <c r="J295" s="1673"/>
      <c r="K295" s="1674">
        <f>SUM(K229,K279,K280,K285,K293,K294)</f>
        <v>1131188</v>
      </c>
      <c r="L295" s="1674">
        <f>SUM(L229,L279,L280,L285,L293,L294)</f>
        <v>1300217</v>
      </c>
    </row>
    <row r="296" spans="1:14" ht="13.5" thickTop="1" x14ac:dyDescent="0.2">
      <c r="A296" s="2288" t="s">
        <v>989</v>
      </c>
      <c r="B296" s="2289"/>
      <c r="C296" s="1673"/>
      <c r="D296" s="1675"/>
      <c r="E296" s="1673"/>
      <c r="F296" s="1673"/>
      <c r="G296" s="1673"/>
      <c r="H296" s="1707"/>
      <c r="I296" s="1673"/>
      <c r="J296" s="1673"/>
      <c r="K296" s="1689">
        <f>'Revenues 9-14'!G268-'Expenditures 15-22'!K295</f>
        <v>-183224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4183643</v>
      </c>
      <c r="H301" s="1573"/>
      <c r="I301" s="1574"/>
      <c r="J301" s="1574"/>
      <c r="K301" s="1672">
        <f>SUM(C301:J301)</f>
        <v>4183643</v>
      </c>
      <c r="L301" s="1574">
        <v>5000000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4183643</v>
      </c>
      <c r="H303" s="1681">
        <f t="shared" si="23"/>
        <v>0</v>
      </c>
      <c r="I303" s="1681">
        <f t="shared" si="23"/>
        <v>0</v>
      </c>
      <c r="J303" s="1681">
        <f t="shared" si="23"/>
        <v>0</v>
      </c>
      <c r="K303" s="1681">
        <f t="shared" si="23"/>
        <v>4183643</v>
      </c>
      <c r="L303" s="1681">
        <f t="shared" si="23"/>
        <v>5000000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4183643</v>
      </c>
      <c r="H312" s="1674">
        <f>SUM(H303,H310)</f>
        <v>0</v>
      </c>
      <c r="I312" s="1674">
        <f>SUM(I303)</f>
        <v>0</v>
      </c>
      <c r="J312" s="1674">
        <f>SUM(J303)</f>
        <v>0</v>
      </c>
      <c r="K312" s="1674">
        <f>SUM(K303,K310,K311)</f>
        <v>4183643</v>
      </c>
      <c r="L312" s="1674">
        <f>SUM(L303,L310,L311)</f>
        <v>5000000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-1725175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v>1275267</v>
      </c>
      <c r="H348" s="1573"/>
      <c r="I348" s="1574"/>
      <c r="J348" s="1574"/>
      <c r="K348" s="1672">
        <f>SUM(C348:J348)</f>
        <v>1275267</v>
      </c>
      <c r="L348" s="1573">
        <v>740832</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1275267</v>
      </c>
      <c r="H350" s="1674">
        <f t="shared" si="26"/>
        <v>0</v>
      </c>
      <c r="I350" s="1674">
        <f t="shared" si="26"/>
        <v>0</v>
      </c>
      <c r="J350" s="1674">
        <f t="shared" si="26"/>
        <v>0</v>
      </c>
      <c r="K350" s="1674">
        <f t="shared" si="26"/>
        <v>1275267</v>
      </c>
      <c r="L350" s="1674">
        <f t="shared" si="26"/>
        <v>740832</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1275267</v>
      </c>
      <c r="H352" s="1674">
        <f t="shared" si="27"/>
        <v>0</v>
      </c>
      <c r="I352" s="1674">
        <f t="shared" si="27"/>
        <v>0</v>
      </c>
      <c r="J352" s="1674">
        <f t="shared" si="27"/>
        <v>0</v>
      </c>
      <c r="K352" s="1674">
        <f t="shared" si="27"/>
        <v>1275267</v>
      </c>
      <c r="L352" s="1674">
        <f t="shared" si="27"/>
        <v>740832</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1275267</v>
      </c>
      <c r="H367" s="1674">
        <f t="shared" si="28"/>
        <v>0</v>
      </c>
      <c r="I367" s="1674">
        <f t="shared" si="28"/>
        <v>0</v>
      </c>
      <c r="J367" s="1674">
        <f t="shared" si="28"/>
        <v>0</v>
      </c>
      <c r="K367" s="1674">
        <f t="shared" si="28"/>
        <v>1275267</v>
      </c>
      <c r="L367" s="1674">
        <f t="shared" si="28"/>
        <v>740832</v>
      </c>
    </row>
    <row r="368" spans="1:14" ht="13.5" thickTop="1" x14ac:dyDescent="0.2">
      <c r="A368" s="2288" t="s">
        <v>989</v>
      </c>
      <c r="B368" s="2289"/>
      <c r="C368" s="1694"/>
      <c r="D368" s="1694"/>
      <c r="E368" s="1677"/>
      <c r="F368" s="1677"/>
      <c r="G368" s="1677"/>
      <c r="H368" s="1677"/>
      <c r="I368" s="1677"/>
      <c r="J368" s="1676"/>
      <c r="K368" s="1672">
        <f>'Revenues 9-14'!K268-'Expenditures 15-22'!K367</f>
        <v>-1275267</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documentManagement/types"/>
    <ds:schemaRef ds:uri="http://purl.org/dc/elements/1.1/"/>
    <ds:schemaRef ds:uri="http://schemas.microsoft.com/office/2006/metadata/properties"/>
    <ds:schemaRef ds:uri="d21dc803-237d-4c68-8692-8d731fd29118"/>
    <ds:schemaRef ds:uri="4d435f69-8686-490b-bd6d-b153bf22ab50"/>
    <ds:schemaRef ds:uri="http://schemas.microsoft.com/sharepoint/v3"/>
    <ds:schemaRef ds:uri="http://schemas.openxmlformats.org/package/2006/metadata/core-properties"/>
    <ds:schemaRef ds:uri="http://purl.org/dc/terms/"/>
    <ds:schemaRef ds:uri="6ce3111e-7420-4802-b50a-75d4e9a0b98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2020-12-28T18:00:34Z</cp:lastPrinted>
  <dcterms:created xsi:type="dcterms:W3CDTF">2003-10-29T19:06:34Z</dcterms:created>
  <dcterms:modified xsi:type="dcterms:W3CDTF">2021-01-14T19:39:20Z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